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ROLLINSE\Desktop\ghg calcs\"/>
    </mc:Choice>
  </mc:AlternateContent>
  <xr:revisionPtr revIDLastSave="0" documentId="13_ncr:1_{B19275A0-F09A-4E6B-9164-811742A7176C}" xr6:coauthVersionLast="47" xr6:coauthVersionMax="47" xr10:uidLastSave="{00000000-0000-0000-0000-000000000000}"/>
  <bookViews>
    <workbookView xWindow="7065" yWindow="1680" windowWidth="20760" windowHeight="13785" activeTab="1" xr2:uid="{B8FC14B7-140C-458B-B0FA-1037BB5D34CD}"/>
  </bookViews>
  <sheets>
    <sheet name="Bike-Ped" sheetId="4" r:id="rId1"/>
    <sheet name="Transit" sheetId="2" r:id="rId2"/>
    <sheet name="Electrification" sheetId="7" r:id="rId3"/>
    <sheet name="Parking" sheetId="6" r:id="rId4"/>
    <sheet name="Land Use" sheetId="12" r:id="rId5"/>
    <sheet name="TDM" sheetId="5" r:id="rId6"/>
    <sheet name="Operations" sheetId="9" r:id="rId7"/>
    <sheet name="Sources" sheetId="8" r:id="rId8"/>
  </sheets>
  <externalReferences>
    <externalReference r:id="rId9"/>
    <externalReference r:id="rId10"/>
    <externalReference r:id="rId11"/>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2" i="6" l="1"/>
  <c r="D83" i="6" s="1"/>
  <c r="D84" i="6" s="1"/>
  <c r="E84" i="6" l="1"/>
  <c r="D85" i="6"/>
  <c r="D86" i="6" s="1"/>
  <c r="F84" i="6" l="1"/>
  <c r="E85" i="6"/>
  <c r="E86" i="6" s="1"/>
  <c r="F85" i="6" l="1"/>
  <c r="F86" i="6" s="1"/>
  <c r="G84" i="6"/>
  <c r="G85" i="6" s="1"/>
  <c r="G86" i="6" s="1"/>
  <c r="P33" i="9" l="1"/>
  <c r="Q33" i="9"/>
  <c r="R33" i="9" s="1"/>
  <c r="R35" i="9" s="1"/>
  <c r="P34" i="9"/>
  <c r="R34" i="9" s="1"/>
  <c r="Q34" i="9"/>
  <c r="D9" i="12"/>
  <c r="M69" i="2"/>
  <c r="M70" i="2"/>
  <c r="M71" i="2"/>
  <c r="M72" i="2"/>
  <c r="M73" i="2"/>
  <c r="M74" i="2"/>
  <c r="M75" i="2"/>
  <c r="N75" i="2"/>
  <c r="O75" i="2"/>
  <c r="P75" i="2"/>
  <c r="Q75" i="2"/>
  <c r="M76" i="2"/>
  <c r="M77" i="2"/>
  <c r="M78" i="2"/>
  <c r="D69" i="6"/>
  <c r="D70" i="6"/>
  <c r="D68" i="6"/>
  <c r="Q78" i="2" l="1"/>
  <c r="P78" i="2"/>
  <c r="O78" i="2"/>
  <c r="N78" i="2"/>
  <c r="D68" i="5"/>
  <c r="D70" i="5" s="1"/>
  <c r="E63" i="2" l="1"/>
  <c r="E68" i="2" l="1"/>
  <c r="E69" i="2"/>
  <c r="F62" i="2"/>
  <c r="F63" i="2"/>
  <c r="G62" i="2" l="1"/>
  <c r="F68" i="2"/>
  <c r="F69" i="2"/>
  <c r="G63" i="2"/>
  <c r="D59" i="5"/>
  <c r="D61" i="5" s="1"/>
  <c r="H62" i="2" l="1"/>
  <c r="H72" i="2" s="1"/>
  <c r="G72" i="2"/>
  <c r="G68" i="2"/>
  <c r="G69" i="2"/>
  <c r="H63" i="2"/>
  <c r="H68" i="2" l="1"/>
  <c r="H69" i="2"/>
  <c r="D24" i="12"/>
  <c r="D25" i="12" s="1"/>
  <c r="D30" i="12" s="1"/>
  <c r="D22" i="12"/>
  <c r="D15" i="12"/>
  <c r="D11" i="12"/>
  <c r="H9" i="12"/>
  <c r="G5" i="12"/>
  <c r="F5" i="12"/>
  <c r="E5" i="12"/>
  <c r="D5" i="12"/>
  <c r="E20" i="5"/>
  <c r="F20" i="5" s="1"/>
  <c r="D21" i="5"/>
  <c r="F32" i="4"/>
  <c r="F31" i="4"/>
  <c r="F30" i="4"/>
  <c r="F25" i="4"/>
  <c r="F24" i="4"/>
  <c r="F23" i="4"/>
  <c r="F22" i="4"/>
  <c r="F21" i="4"/>
  <c r="F20" i="4"/>
  <c r="F19" i="4"/>
  <c r="F18" i="4"/>
  <c r="E32" i="4"/>
  <c r="D32" i="4"/>
  <c r="E31" i="4"/>
  <c r="D31" i="4"/>
  <c r="E30" i="4"/>
  <c r="D30" i="4"/>
  <c r="F29" i="4"/>
  <c r="F28" i="4"/>
  <c r="F27" i="4"/>
  <c r="F26" i="4"/>
  <c r="E29" i="4"/>
  <c r="E28" i="4"/>
  <c r="E27" i="4"/>
  <c r="E26" i="4"/>
  <c r="D30" i="9"/>
  <c r="D31" i="9"/>
  <c r="D31" i="12" l="1"/>
  <c r="E16" i="12"/>
  <c r="E17" i="12" s="1"/>
  <c r="E26" i="12"/>
  <c r="D26" i="12"/>
  <c r="G26" i="12"/>
  <c r="F26" i="12"/>
  <c r="F16" i="12"/>
  <c r="F17" i="12" s="1"/>
  <c r="G16" i="12"/>
  <c r="G17" i="12" s="1"/>
  <c r="D16" i="12"/>
  <c r="G20" i="5"/>
  <c r="F31" i="12" l="1"/>
  <c r="F32" i="12" s="1"/>
  <c r="E31" i="12"/>
  <c r="E32" i="12" s="1"/>
  <c r="G31" i="12"/>
  <c r="D32" i="12"/>
  <c r="G32" i="12"/>
  <c r="D17" i="12"/>
  <c r="G27" i="12" l="1"/>
  <c r="E27" i="12"/>
  <c r="F27" i="12"/>
  <c r="D27" i="12"/>
  <c r="D20" i="9" l="1"/>
  <c r="D15" i="9"/>
  <c r="D32" i="9" l="1"/>
  <c r="K8" i="7"/>
  <c r="K11" i="7" s="1"/>
  <c r="K14" i="7" s="1"/>
  <c r="O74" i="2" l="1"/>
  <c r="N74" i="2"/>
  <c r="P74" i="2"/>
  <c r="Q74" i="2"/>
  <c r="D33" i="9"/>
  <c r="E52" i="7" l="1"/>
  <c r="F52" i="7" s="1"/>
  <c r="G52" i="7" s="1"/>
  <c r="D49" i="7"/>
  <c r="D50" i="7" s="1"/>
  <c r="D53" i="7" s="1"/>
  <c r="E48" i="7"/>
  <c r="F48" i="7" s="1"/>
  <c r="G48" i="7" s="1"/>
  <c r="E47" i="7"/>
  <c r="F47" i="7" s="1"/>
  <c r="G47" i="7" s="1"/>
  <c r="D42" i="7"/>
  <c r="G49" i="7" l="1"/>
  <c r="G50" i="7" s="1"/>
  <c r="G53" i="7" s="1"/>
  <c r="E49" i="7"/>
  <c r="E50" i="7" s="1"/>
  <c r="E53" i="7" s="1"/>
  <c r="D44" i="7"/>
  <c r="F49" i="7"/>
  <c r="F50" i="7" s="1"/>
  <c r="F53" i="7" s="1"/>
  <c r="E42" i="7"/>
  <c r="F42" i="7" l="1"/>
  <c r="G42" i="7" l="1"/>
  <c r="E44" i="7" l="1"/>
  <c r="D11" i="6"/>
  <c r="D45" i="6"/>
  <c r="H9" i="6"/>
  <c r="D38" i="6"/>
  <c r="D39" i="6" s="1"/>
  <c r="D40" i="6" s="1"/>
  <c r="D31" i="6"/>
  <c r="D28" i="9"/>
  <c r="D29" i="9" s="1"/>
  <c r="D59" i="9"/>
  <c r="D58" i="9"/>
  <c r="D57" i="9"/>
  <c r="E36" i="4"/>
  <c r="F36" i="4" s="1"/>
  <c r="E35" i="4"/>
  <c r="F35" i="4" s="1"/>
  <c r="D46" i="6" l="1"/>
  <c r="D48" i="6" s="1"/>
  <c r="E48" i="6" s="1"/>
  <c r="F44" i="7"/>
  <c r="D32" i="6"/>
  <c r="E40" i="6"/>
  <c r="F48" i="6" l="1"/>
  <c r="F40" i="6"/>
  <c r="G48" i="6" l="1"/>
  <c r="G44" i="7"/>
  <c r="G40" i="6"/>
  <c r="D8" i="9" l="1"/>
  <c r="D6" i="9"/>
  <c r="D5" i="9"/>
  <c r="D23" i="9" s="1"/>
  <c r="D13" i="7"/>
  <c r="D55" i="7" s="1"/>
  <c r="D11" i="7"/>
  <c r="D9" i="7"/>
  <c r="D5" i="7"/>
  <c r="D7" i="7" s="1"/>
  <c r="D26" i="7" s="1"/>
  <c r="D34" i="7" s="1"/>
  <c r="D13" i="2" l="1"/>
  <c r="D12" i="2"/>
  <c r="E12" i="2" l="1"/>
  <c r="E26" i="2" l="1"/>
  <c r="N77" i="2"/>
  <c r="E13" i="2"/>
  <c r="E16" i="2"/>
  <c r="E14" i="2"/>
  <c r="D5" i="6"/>
  <c r="D6" i="5"/>
  <c r="D5" i="4"/>
  <c r="F13" i="7"/>
  <c r="F55" i="7" s="1"/>
  <c r="E13" i="7"/>
  <c r="E55" i="7" s="1"/>
  <c r="D30" i="7"/>
  <c r="D38" i="7" s="1"/>
  <c r="D62" i="5" l="1"/>
  <c r="D63" i="5" s="1"/>
  <c r="D71" i="5"/>
  <c r="Q71" i="2"/>
  <c r="P71" i="2"/>
  <c r="N71" i="2"/>
  <c r="O71" i="2"/>
  <c r="P70" i="2"/>
  <c r="N70" i="2"/>
  <c r="Q70" i="2"/>
  <c r="O70" i="2"/>
  <c r="Q73" i="2"/>
  <c r="O73" i="2"/>
  <c r="N73" i="2"/>
  <c r="P73" i="2"/>
  <c r="Q69" i="2"/>
  <c r="P69" i="2"/>
  <c r="N69" i="2"/>
  <c r="O69" i="2"/>
  <c r="N72" i="2"/>
  <c r="E72" i="2"/>
  <c r="D74" i="6"/>
  <c r="D78" i="6" s="1"/>
  <c r="D72" i="6"/>
  <c r="D76" i="6" s="1"/>
  <c r="D73" i="6"/>
  <c r="D77" i="6" s="1"/>
  <c r="D60" i="6"/>
  <c r="D64" i="6" s="1"/>
  <c r="D58" i="6"/>
  <c r="D62" i="6" s="1"/>
  <c r="D59" i="6"/>
  <c r="D63" i="6" s="1"/>
  <c r="D41" i="6"/>
  <c r="D42" i="6" s="1"/>
  <c r="D33" i="6"/>
  <c r="E25" i="2"/>
  <c r="E71" i="2"/>
  <c r="D22" i="5"/>
  <c r="D23" i="5" s="1"/>
  <c r="D40" i="4"/>
  <c r="D61" i="4" s="1"/>
  <c r="D45" i="4"/>
  <c r="D66" i="4" s="1"/>
  <c r="D48" i="4"/>
  <c r="D69" i="4" s="1"/>
  <c r="D44" i="4"/>
  <c r="D65" i="4" s="1"/>
  <c r="D52" i="4"/>
  <c r="D73" i="4" s="1"/>
  <c r="D51" i="4"/>
  <c r="D72" i="4" s="1"/>
  <c r="D49" i="4"/>
  <c r="D70" i="4" s="1"/>
  <c r="D43" i="4"/>
  <c r="D64" i="4" s="1"/>
  <c r="D42" i="4"/>
  <c r="D63" i="4" s="1"/>
  <c r="D50" i="4"/>
  <c r="D71" i="4" s="1"/>
  <c r="D47" i="4"/>
  <c r="D68" i="4" s="1"/>
  <c r="D41" i="4"/>
  <c r="D46" i="4"/>
  <c r="D67" i="4" s="1"/>
  <c r="D49" i="6"/>
  <c r="D50" i="6" s="1"/>
  <c r="G13" i="7"/>
  <c r="G55" i="7" s="1"/>
  <c r="F56" i="7"/>
  <c r="E30" i="7"/>
  <c r="E38" i="7" s="1"/>
  <c r="E56" i="7"/>
  <c r="D57" i="4"/>
  <c r="D78" i="4" s="1"/>
  <c r="D58" i="4"/>
  <c r="D79" i="4" s="1"/>
  <c r="F30" i="7"/>
  <c r="F38" i="7" s="1"/>
  <c r="D17" i="9"/>
  <c r="D18" i="9" s="1"/>
  <c r="F6" i="9"/>
  <c r="G6" i="9" s="1"/>
  <c r="E6" i="9"/>
  <c r="G5" i="9"/>
  <c r="G23" i="9" s="1"/>
  <c r="F5" i="9"/>
  <c r="F23" i="9" s="1"/>
  <c r="E5" i="9"/>
  <c r="E23" i="9" s="1"/>
  <c r="E20" i="2"/>
  <c r="G30" i="7" l="1"/>
  <c r="G38" i="7" s="1"/>
  <c r="G56" i="7"/>
  <c r="D22" i="9"/>
  <c r="D24" i="9" s="1"/>
  <c r="D25" i="9" s="1"/>
  <c r="E8" i="9"/>
  <c r="G8" i="9"/>
  <c r="G22" i="9" s="1"/>
  <c r="G24" i="9" s="1"/>
  <c r="G25" i="9" s="1"/>
  <c r="F8" i="9"/>
  <c r="F22" i="9" l="1"/>
  <c r="F24" i="9" s="1"/>
  <c r="F25" i="9" s="1"/>
  <c r="E22" i="9"/>
  <c r="E24" i="9" l="1"/>
  <c r="E25" i="9" s="1"/>
  <c r="D26" i="5"/>
  <c r="F11" i="7"/>
  <c r="E11" i="7"/>
  <c r="E29" i="7" s="1"/>
  <c r="E37" i="7" s="1"/>
  <c r="D29" i="7"/>
  <c r="D37" i="7" s="1"/>
  <c r="F9" i="7"/>
  <c r="E28" i="9" l="1"/>
  <c r="E32" i="9"/>
  <c r="E29" i="9"/>
  <c r="F28" i="9"/>
  <c r="G28" i="9" s="1"/>
  <c r="G29" i="9" s="1"/>
  <c r="G9" i="7"/>
  <c r="G28" i="7" s="1"/>
  <c r="G36" i="7" s="1"/>
  <c r="F28" i="7"/>
  <c r="F36" i="7" s="1"/>
  <c r="D28" i="7"/>
  <c r="D36" i="7" s="1"/>
  <c r="G11" i="7"/>
  <c r="G29" i="7" s="1"/>
  <c r="G37" i="7" s="1"/>
  <c r="F29" i="7"/>
  <c r="F37" i="7" s="1"/>
  <c r="E9" i="7"/>
  <c r="E28" i="7" s="1"/>
  <c r="E36" i="7" s="1"/>
  <c r="F29" i="9" l="1"/>
  <c r="E33" i="9"/>
  <c r="F32" i="9"/>
  <c r="G5" i="7"/>
  <c r="F5" i="7"/>
  <c r="E5" i="7"/>
  <c r="D27" i="7"/>
  <c r="D35" i="7" s="1"/>
  <c r="G32" i="9" l="1"/>
  <c r="G33" i="9" s="1"/>
  <c r="F33" i="9"/>
  <c r="G27" i="7"/>
  <c r="G35" i="7" s="1"/>
  <c r="G7" i="7"/>
  <c r="G26" i="7" s="1"/>
  <c r="G34" i="7" s="1"/>
  <c r="F27" i="7"/>
  <c r="F35" i="7" s="1"/>
  <c r="F7" i="7"/>
  <c r="F26" i="7" s="1"/>
  <c r="F34" i="7" s="1"/>
  <c r="E27" i="7"/>
  <c r="E35" i="7" s="1"/>
  <c r="E7" i="7"/>
  <c r="E26" i="7" s="1"/>
  <c r="E34" i="7" s="1"/>
  <c r="G57" i="7"/>
  <c r="F57" i="7"/>
  <c r="E57" i="7"/>
  <c r="D56" i="7"/>
  <c r="D57" i="7" s="1"/>
  <c r="E6" i="7"/>
  <c r="E25" i="7" s="1"/>
  <c r="F6" i="7"/>
  <c r="F25" i="7" s="1"/>
  <c r="D6" i="7"/>
  <c r="G6" i="7"/>
  <c r="G25" i="7" s="1"/>
  <c r="D17" i="6"/>
  <c r="D18" i="6" s="1"/>
  <c r="D20" i="6" s="1"/>
  <c r="G33" i="7" l="1"/>
  <c r="D25" i="7"/>
  <c r="D33" i="7" s="1"/>
  <c r="F33" i="7"/>
  <c r="E33" i="7"/>
  <c r="D22" i="6"/>
  <c r="E22" i="6" l="1"/>
  <c r="D23" i="6"/>
  <c r="G5" i="6"/>
  <c r="F5" i="6"/>
  <c r="E5" i="6"/>
  <c r="D41" i="5"/>
  <c r="E41" i="5" s="1"/>
  <c r="F41" i="5" s="1"/>
  <c r="G41" i="5" s="1"/>
  <c r="D42" i="5"/>
  <c r="E39" i="5"/>
  <c r="F39" i="5" s="1"/>
  <c r="G39" i="5" s="1"/>
  <c r="E38" i="5"/>
  <c r="F38" i="5" s="1"/>
  <c r="G38" i="5" s="1"/>
  <c r="E11" i="5"/>
  <c r="F11" i="5" s="1"/>
  <c r="G11" i="5" s="1"/>
  <c r="E37" i="5"/>
  <c r="F37" i="5" s="1"/>
  <c r="G37" i="5" s="1"/>
  <c r="D27" i="5"/>
  <c r="E26" i="5"/>
  <c r="F26" i="5" s="1"/>
  <c r="E10" i="5"/>
  <c r="E32" i="5"/>
  <c r="F32" i="5" s="1"/>
  <c r="E12" i="5"/>
  <c r="F12" i="5" s="1"/>
  <c r="G12" i="5" s="1"/>
  <c r="G6" i="5"/>
  <c r="F6" i="5"/>
  <c r="E6" i="5"/>
  <c r="D55" i="5"/>
  <c r="D56" i="5" s="1"/>
  <c r="G5" i="4"/>
  <c r="F5" i="4"/>
  <c r="E5" i="4"/>
  <c r="E43" i="2"/>
  <c r="E44" i="2" s="1"/>
  <c r="E54" i="2"/>
  <c r="E55" i="2" s="1"/>
  <c r="F7" i="2"/>
  <c r="F21" i="2"/>
  <c r="G21" i="2" s="1"/>
  <c r="H21" i="2" s="1"/>
  <c r="F20" i="2"/>
  <c r="G20" i="2" s="1"/>
  <c r="H20" i="2" s="1"/>
  <c r="F10" i="2"/>
  <c r="G10" i="2" s="1"/>
  <c r="H10" i="2" s="1"/>
  <c r="F19" i="2"/>
  <c r="G19" i="2" s="1"/>
  <c r="H19" i="2" s="1"/>
  <c r="E72" i="6" l="1"/>
  <c r="E76" i="6" s="1"/>
  <c r="E73" i="6"/>
  <c r="E77" i="6" s="1"/>
  <c r="E74" i="6"/>
  <c r="E78" i="6" s="1"/>
  <c r="F73" i="6"/>
  <c r="F77" i="6" s="1"/>
  <c r="F72" i="6"/>
  <c r="F76" i="6" s="1"/>
  <c r="F74" i="6"/>
  <c r="F78" i="6" s="1"/>
  <c r="G73" i="6"/>
  <c r="G77" i="6" s="1"/>
  <c r="G72" i="6"/>
  <c r="G76" i="6" s="1"/>
  <c r="G74" i="6"/>
  <c r="G78" i="6" s="1"/>
  <c r="E62" i="5"/>
  <c r="E63" i="5" s="1"/>
  <c r="E71" i="5"/>
  <c r="F62" i="5"/>
  <c r="F63" i="5" s="1"/>
  <c r="F71" i="5"/>
  <c r="G62" i="5"/>
  <c r="G63" i="5" s="1"/>
  <c r="G71" i="5"/>
  <c r="F58" i="6"/>
  <c r="F62" i="6" s="1"/>
  <c r="F59" i="6"/>
  <c r="F63" i="6" s="1"/>
  <c r="F60" i="6"/>
  <c r="F64" i="6" s="1"/>
  <c r="G59" i="6"/>
  <c r="G63" i="6" s="1"/>
  <c r="G58" i="6"/>
  <c r="G62" i="6" s="1"/>
  <c r="G60" i="6"/>
  <c r="G64" i="6" s="1"/>
  <c r="E60" i="6"/>
  <c r="E64" i="6" s="1"/>
  <c r="E58" i="6"/>
  <c r="E62" i="6" s="1"/>
  <c r="E59" i="6"/>
  <c r="E63" i="6" s="1"/>
  <c r="E41" i="6"/>
  <c r="F41" i="6"/>
  <c r="F42" i="6" s="1"/>
  <c r="G41" i="6"/>
  <c r="G42" i="6" s="1"/>
  <c r="F22" i="6"/>
  <c r="E23" i="6"/>
  <c r="E24" i="6" s="1"/>
  <c r="F10" i="5"/>
  <c r="E21" i="5"/>
  <c r="E22" i="5" s="1"/>
  <c r="E23" i="5" s="1"/>
  <c r="F44" i="4"/>
  <c r="F65" i="4" s="1"/>
  <c r="F40" i="4"/>
  <c r="F61" i="4" s="1"/>
  <c r="F45" i="4"/>
  <c r="F66" i="4" s="1"/>
  <c r="F52" i="4"/>
  <c r="F73" i="4" s="1"/>
  <c r="F48" i="4"/>
  <c r="F69" i="4" s="1"/>
  <c r="F49" i="4"/>
  <c r="F70" i="4" s="1"/>
  <c r="F51" i="4"/>
  <c r="F72" i="4" s="1"/>
  <c r="F47" i="4"/>
  <c r="F68" i="4" s="1"/>
  <c r="F50" i="4"/>
  <c r="F71" i="4" s="1"/>
  <c r="F43" i="4"/>
  <c r="F64" i="4" s="1"/>
  <c r="F46" i="4"/>
  <c r="F67" i="4" s="1"/>
  <c r="F42" i="4"/>
  <c r="F63" i="4" s="1"/>
  <c r="F41" i="4"/>
  <c r="F62" i="4" s="1"/>
  <c r="D53" i="4"/>
  <c r="D74" i="4" s="1"/>
  <c r="E53" i="4"/>
  <c r="E74" i="4" s="1"/>
  <c r="G53" i="4"/>
  <c r="G74" i="4" s="1"/>
  <c r="F53" i="4"/>
  <c r="F74" i="4" s="1"/>
  <c r="E52" i="4"/>
  <c r="E73" i="4" s="1"/>
  <c r="E40" i="4"/>
  <c r="E61" i="4" s="1"/>
  <c r="E48" i="4"/>
  <c r="E69" i="4" s="1"/>
  <c r="E45" i="4"/>
  <c r="E66" i="4" s="1"/>
  <c r="E44" i="4"/>
  <c r="E65" i="4" s="1"/>
  <c r="E43" i="4"/>
  <c r="E64" i="4" s="1"/>
  <c r="E42" i="4"/>
  <c r="E63" i="4" s="1"/>
  <c r="E47" i="4"/>
  <c r="E68" i="4" s="1"/>
  <c r="E50" i="4"/>
  <c r="E71" i="4" s="1"/>
  <c r="E49" i="4"/>
  <c r="E70" i="4" s="1"/>
  <c r="E41" i="4"/>
  <c r="E62" i="4" s="1"/>
  <c r="E51" i="4"/>
  <c r="E72" i="4" s="1"/>
  <c r="E46" i="4"/>
  <c r="E67" i="4" s="1"/>
  <c r="G44" i="4"/>
  <c r="G65" i="4" s="1"/>
  <c r="G40" i="4"/>
  <c r="G61" i="4" s="1"/>
  <c r="G52" i="4"/>
  <c r="G73" i="4" s="1"/>
  <c r="G48" i="4"/>
  <c r="G69" i="4" s="1"/>
  <c r="G45" i="4"/>
  <c r="G66" i="4" s="1"/>
  <c r="G50" i="4"/>
  <c r="G71" i="4" s="1"/>
  <c r="G41" i="4"/>
  <c r="G62" i="4" s="1"/>
  <c r="G51" i="4"/>
  <c r="G72" i="4" s="1"/>
  <c r="G49" i="4"/>
  <c r="G70" i="4" s="1"/>
  <c r="G43" i="4"/>
  <c r="G64" i="4" s="1"/>
  <c r="G46" i="4"/>
  <c r="G67" i="4" s="1"/>
  <c r="G47" i="4"/>
  <c r="G68" i="4" s="1"/>
  <c r="G42" i="4"/>
  <c r="G63" i="4" s="1"/>
  <c r="G54" i="4"/>
  <c r="G75" i="4" s="1"/>
  <c r="F54" i="4"/>
  <c r="F75" i="4" s="1"/>
  <c r="E54" i="4"/>
  <c r="E75" i="4" s="1"/>
  <c r="D54" i="4"/>
  <c r="D75" i="4" s="1"/>
  <c r="E42" i="5"/>
  <c r="F42" i="5" s="1"/>
  <c r="D46" i="5"/>
  <c r="F49" i="6"/>
  <c r="F50" i="6" s="1"/>
  <c r="E42" i="6"/>
  <c r="E49" i="6"/>
  <c r="E50" i="6" s="1"/>
  <c r="G49" i="6"/>
  <c r="G50" i="6" s="1"/>
  <c r="G57" i="4"/>
  <c r="G78" i="4" s="1"/>
  <c r="G58" i="4"/>
  <c r="G79" i="4" s="1"/>
  <c r="F57" i="4"/>
  <c r="F78" i="4" s="1"/>
  <c r="F58" i="4"/>
  <c r="F79" i="4" s="1"/>
  <c r="E57" i="4"/>
  <c r="E78" i="4" s="1"/>
  <c r="E58" i="4"/>
  <c r="E79" i="4" s="1"/>
  <c r="F16" i="5"/>
  <c r="F55" i="5"/>
  <c r="F56" i="5" s="1"/>
  <c r="G16" i="5"/>
  <c r="G55" i="5"/>
  <c r="G56" i="5" s="1"/>
  <c r="E16" i="5"/>
  <c r="E17" i="5" s="1"/>
  <c r="E55" i="5"/>
  <c r="E56" i="5" s="1"/>
  <c r="D7" i="5"/>
  <c r="E7" i="5" s="1"/>
  <c r="D16" i="5"/>
  <c r="D17" i="5" s="1"/>
  <c r="D44" i="5"/>
  <c r="D48" i="5" s="1"/>
  <c r="D50" i="5" s="1"/>
  <c r="G44" i="5"/>
  <c r="F44" i="5"/>
  <c r="E44" i="5"/>
  <c r="D28" i="5"/>
  <c r="D29" i="5" s="1"/>
  <c r="F27" i="5"/>
  <c r="F28" i="5" s="1"/>
  <c r="F29" i="5" s="1"/>
  <c r="E27" i="5"/>
  <c r="E28" i="5" s="1"/>
  <c r="E29" i="5" s="1"/>
  <c r="F33" i="5"/>
  <c r="F34" i="5" s="1"/>
  <c r="G26" i="5"/>
  <c r="D33" i="5"/>
  <c r="D34" i="5" s="1"/>
  <c r="E33" i="5"/>
  <c r="E34" i="5" s="1"/>
  <c r="G32" i="5"/>
  <c r="D62" i="4"/>
  <c r="G7" i="2"/>
  <c r="G22" i="6" l="1"/>
  <c r="G23" i="6" s="1"/>
  <c r="G24" i="6" s="1"/>
  <c r="F23" i="6"/>
  <c r="F24" i="6" s="1"/>
  <c r="G72" i="5"/>
  <c r="D72" i="5"/>
  <c r="E72" i="5"/>
  <c r="F72" i="5"/>
  <c r="G10" i="5"/>
  <c r="G21" i="5" s="1"/>
  <c r="G22" i="5" s="1"/>
  <c r="G23" i="5" s="1"/>
  <c r="F21" i="5"/>
  <c r="F22" i="5" s="1"/>
  <c r="F23" i="5" s="1"/>
  <c r="F7" i="5"/>
  <c r="G7" i="5" s="1"/>
  <c r="E8" i="5"/>
  <c r="D45" i="5"/>
  <c r="D24" i="6"/>
  <c r="E32" i="6" s="1"/>
  <c r="D47" i="5"/>
  <c r="D49" i="5" s="1"/>
  <c r="E45" i="5"/>
  <c r="G42" i="5"/>
  <c r="F17" i="5"/>
  <c r="G33" i="5"/>
  <c r="G34" i="5" s="1"/>
  <c r="H7" i="2"/>
  <c r="F32" i="6" l="1"/>
  <c r="E33" i="6"/>
  <c r="G27" i="5"/>
  <c r="G28" i="5" s="1"/>
  <c r="G29" i="5" s="1"/>
  <c r="F45" i="5"/>
  <c r="F8" i="5"/>
  <c r="G8" i="5" s="1"/>
  <c r="G46" i="5" s="1"/>
  <c r="G48" i="5" s="1"/>
  <c r="G50" i="5" s="1"/>
  <c r="G45" i="5"/>
  <c r="F47" i="5"/>
  <c r="F49" i="5" s="1"/>
  <c r="E46" i="5"/>
  <c r="E48" i="5" s="1"/>
  <c r="E50" i="5" s="1"/>
  <c r="E47" i="5"/>
  <c r="E49" i="5" s="1"/>
  <c r="D34" i="6"/>
  <c r="G17" i="5"/>
  <c r="F46" i="5" l="1"/>
  <c r="F48" i="5" s="1"/>
  <c r="F50" i="5" s="1"/>
  <c r="G32" i="6"/>
  <c r="G33" i="6" s="1"/>
  <c r="F33" i="6"/>
  <c r="G47" i="5"/>
  <c r="G49" i="5" s="1"/>
  <c r="E34" i="6"/>
  <c r="F52" i="2"/>
  <c r="G52" i="2" s="1"/>
  <c r="H52" i="2" s="1"/>
  <c r="F34" i="6" l="1"/>
  <c r="G34" i="6"/>
  <c r="F51" i="2"/>
  <c r="F41" i="2"/>
  <c r="F43" i="2" s="1"/>
  <c r="H12" i="2"/>
  <c r="Q77" i="2" s="1"/>
  <c r="Q72" i="2" s="1"/>
  <c r="G12" i="2"/>
  <c r="P77" i="2" s="1"/>
  <c r="P72" i="2" s="1"/>
  <c r="F12" i="2"/>
  <c r="O77" i="2" s="1"/>
  <c r="O72" i="2" l="1"/>
  <c r="F72" i="2"/>
  <c r="F13" i="2"/>
  <c r="F35" i="2" s="1"/>
  <c r="F16" i="2"/>
  <c r="G13" i="2"/>
  <c r="G35" i="2" s="1"/>
  <c r="G16" i="2"/>
  <c r="H13" i="2"/>
  <c r="H35" i="2" s="1"/>
  <c r="H16" i="2"/>
  <c r="E35" i="2"/>
  <c r="G41" i="2"/>
  <c r="G43" i="2" s="1"/>
  <c r="G51" i="2"/>
  <c r="H41" i="2" l="1"/>
  <c r="H43" i="2" s="1"/>
  <c r="H51" i="2"/>
  <c r="H14" i="2" l="1"/>
  <c r="H71" i="2" s="1"/>
  <c r="G14" i="2"/>
  <c r="G71" i="2" s="1"/>
  <c r="F14" i="2"/>
  <c r="F71" i="2" s="1"/>
  <c r="F17" i="2"/>
  <c r="F44" i="2" s="1"/>
  <c r="F9" i="2"/>
  <c r="F54" i="2" s="1"/>
  <c r="F6" i="2"/>
  <c r="F25" i="2" l="1"/>
  <c r="F29" i="2" s="1"/>
  <c r="F31" i="2" s="1"/>
  <c r="F26" i="2"/>
  <c r="F55" i="2"/>
  <c r="F56" i="2" s="1"/>
  <c r="E29" i="2"/>
  <c r="E31" i="2" s="1"/>
  <c r="E36" i="2"/>
  <c r="E37" i="2" s="1"/>
  <c r="E38" i="2" s="1"/>
  <c r="F36" i="2"/>
  <c r="F37" i="2" s="1"/>
  <c r="F38" i="2" s="1"/>
  <c r="E56" i="2"/>
  <c r="E45" i="2"/>
  <c r="E46" i="2" s="1"/>
  <c r="G9" i="2"/>
  <c r="G54" i="2" s="1"/>
  <c r="G17" i="2"/>
  <c r="G44" i="2" s="1"/>
  <c r="F45" i="2"/>
  <c r="G6" i="2"/>
  <c r="G25" i="2" l="1"/>
  <c r="G29" i="2" s="1"/>
  <c r="G31" i="2" s="1"/>
  <c r="G26" i="2"/>
  <c r="E28" i="2"/>
  <c r="E30" i="2" s="1"/>
  <c r="G55" i="2"/>
  <c r="G56" i="2" s="1"/>
  <c r="G36" i="2"/>
  <c r="G37" i="2" s="1"/>
  <c r="G38" i="2" s="1"/>
  <c r="F46" i="2"/>
  <c r="H9" i="2"/>
  <c r="H54" i="2" s="1"/>
  <c r="H17" i="2"/>
  <c r="G45" i="2"/>
  <c r="F28" i="2"/>
  <c r="F30" i="2" s="1"/>
  <c r="H6" i="2"/>
  <c r="E48" i="2"/>
  <c r="E47" i="2"/>
  <c r="E73" i="2" l="1"/>
  <c r="E74" i="2" s="1"/>
  <c r="H25" i="2"/>
  <c r="H29" i="2" s="1"/>
  <c r="H31" i="2" s="1"/>
  <c r="H26" i="2"/>
  <c r="H55" i="2"/>
  <c r="H56" i="2" s="1"/>
  <c r="H44" i="2"/>
  <c r="H36" i="2"/>
  <c r="H37" i="2" s="1"/>
  <c r="H38" i="2" s="1"/>
  <c r="F48" i="2"/>
  <c r="F47" i="2"/>
  <c r="G46" i="2"/>
  <c r="G28" i="2"/>
  <c r="G30" i="2" s="1"/>
  <c r="H45" i="2" l="1"/>
  <c r="F73" i="2"/>
  <c r="F74" i="2" s="1"/>
  <c r="H28" i="2"/>
  <c r="H30" i="2" s="1"/>
  <c r="G47" i="2"/>
  <c r="G48" i="2"/>
  <c r="H46" i="2"/>
  <c r="G73" i="2" l="1"/>
  <c r="G74" i="2" s="1"/>
  <c r="H48" i="2"/>
  <c r="H47" i="2"/>
  <c r="H73" i="2" l="1"/>
  <c r="H74" i="2" s="1"/>
  <c r="H57" i="2"/>
  <c r="H58" i="2" s="1"/>
  <c r="H59" i="2" s="1"/>
  <c r="G57" i="2"/>
  <c r="G58" i="2" s="1"/>
  <c r="G59" i="2" s="1"/>
  <c r="F57" i="2"/>
  <c r="F58" i="2" s="1"/>
  <c r="F59" i="2" s="1"/>
  <c r="E57" i="2"/>
  <c r="E58" i="2" s="1"/>
  <c r="E5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CDOT </author>
  </authors>
  <commentList>
    <comment ref="C18" authorId="0" shapeId="0" xr:uid="{404E501D-2A1E-4E86-A102-F1A128D6EDC5}">
      <text>
        <r>
          <rPr>
            <b/>
            <sz val="9"/>
            <color indexed="81"/>
            <rFont val="Tahoma"/>
            <charset val="1"/>
          </rPr>
          <t>CDOT :</t>
        </r>
        <r>
          <rPr>
            <sz val="9"/>
            <color indexed="81"/>
            <rFont val="Tahoma"/>
            <charset val="1"/>
          </rPr>
          <t xml:space="preserve">
&gt; 10,000 ppsm</t>
        </r>
      </text>
    </comment>
    <comment ref="C19" authorId="0" shapeId="0" xr:uid="{43C7191F-90AB-4CCB-9879-561777DBBB30}">
      <text>
        <r>
          <rPr>
            <b/>
            <sz val="9"/>
            <color indexed="81"/>
            <rFont val="Tahoma"/>
            <charset val="1"/>
          </rPr>
          <t>CDOT :</t>
        </r>
        <r>
          <rPr>
            <sz val="9"/>
            <color indexed="81"/>
            <rFont val="Tahoma"/>
            <charset val="1"/>
          </rPr>
          <t xml:space="preserve">
4,000 - 10,000 ppsm</t>
        </r>
      </text>
    </comment>
    <comment ref="C20" authorId="0" shapeId="0" xr:uid="{97C06F2D-647B-41E3-8961-5E69C0133631}">
      <text>
        <r>
          <rPr>
            <b/>
            <sz val="9"/>
            <color indexed="81"/>
            <rFont val="Tahoma"/>
            <charset val="1"/>
          </rPr>
          <t>CDOT :</t>
        </r>
        <r>
          <rPr>
            <sz val="9"/>
            <color indexed="81"/>
            <rFont val="Tahoma"/>
            <charset val="1"/>
          </rPr>
          <t xml:space="preserve">
500 - 4,000 ppsm</t>
        </r>
      </text>
    </comment>
    <comment ref="C21" authorId="0" shapeId="0" xr:uid="{3C3006F9-B5F0-490C-89E6-65DC07A17F41}">
      <text>
        <r>
          <rPr>
            <b/>
            <sz val="9"/>
            <color indexed="81"/>
            <rFont val="Tahoma"/>
            <charset val="1"/>
          </rPr>
          <t>CDOT :</t>
        </r>
        <r>
          <rPr>
            <sz val="9"/>
            <color indexed="81"/>
            <rFont val="Tahoma"/>
            <charset val="1"/>
          </rPr>
          <t xml:space="preserve">
&lt; 500 ppsm</t>
        </r>
      </text>
    </comment>
    <comment ref="C40" authorId="0" shapeId="0" xr:uid="{E649B8AE-323D-4E67-B9BA-683609E108B5}">
      <text>
        <r>
          <rPr>
            <b/>
            <sz val="9"/>
            <color indexed="81"/>
            <rFont val="Tahoma"/>
            <charset val="1"/>
          </rPr>
          <t>CDOT :</t>
        </r>
        <r>
          <rPr>
            <sz val="9"/>
            <color indexed="81"/>
            <rFont val="Tahoma"/>
            <charset val="1"/>
          </rPr>
          <t xml:space="preserve">
&gt;10,000 ppsm</t>
        </r>
      </text>
    </comment>
    <comment ref="C41" authorId="0" shapeId="0" xr:uid="{DC1C4B5C-C34B-4BA3-88FE-F7DD4619FF41}">
      <text>
        <r>
          <rPr>
            <b/>
            <sz val="9"/>
            <color indexed="81"/>
            <rFont val="Tahoma"/>
            <charset val="1"/>
          </rPr>
          <t>CDOT :</t>
        </r>
        <r>
          <rPr>
            <sz val="9"/>
            <color indexed="81"/>
            <rFont val="Tahoma"/>
            <charset val="1"/>
          </rPr>
          <t xml:space="preserve">
4,000 - 10,000 ppsm</t>
        </r>
      </text>
    </comment>
    <comment ref="C42" authorId="0" shapeId="0" xr:uid="{72C3B412-72F4-4A39-97EF-C6AB13527332}">
      <text>
        <r>
          <rPr>
            <b/>
            <sz val="9"/>
            <color indexed="81"/>
            <rFont val="Tahoma"/>
            <charset val="1"/>
          </rPr>
          <t>CDOT :</t>
        </r>
        <r>
          <rPr>
            <sz val="9"/>
            <color indexed="81"/>
            <rFont val="Tahoma"/>
            <charset val="1"/>
          </rPr>
          <t xml:space="preserve">
500 - 4,000 ppsm</t>
        </r>
      </text>
    </comment>
    <comment ref="C43" authorId="0" shapeId="0" xr:uid="{BFCFDDB6-591D-45B3-9880-27CDF21090B9}">
      <text>
        <r>
          <rPr>
            <b/>
            <sz val="9"/>
            <color indexed="81"/>
            <rFont val="Tahoma"/>
            <charset val="1"/>
          </rPr>
          <t>CDOT :</t>
        </r>
        <r>
          <rPr>
            <sz val="9"/>
            <color indexed="81"/>
            <rFont val="Tahoma"/>
            <charset val="1"/>
          </rPr>
          <t xml:space="preserve">
&lt; 500 ppsm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Porter</author>
  </authors>
  <commentList>
    <comment ref="I9" authorId="0" shapeId="0" xr:uid="{6687F995-4004-4F36-843F-0D095981034F}">
      <text>
        <r>
          <rPr>
            <b/>
            <sz val="9"/>
            <color indexed="81"/>
            <rFont val="Tahoma"/>
            <family val="2"/>
          </rPr>
          <t>Chris Porter:</t>
        </r>
        <r>
          <rPr>
            <sz val="9"/>
            <color indexed="81"/>
            <rFont val="Tahoma"/>
            <family val="2"/>
          </rPr>
          <t xml:space="preserve">
8.2 CO average</t>
        </r>
      </text>
    </comment>
    <comment ref="I17" authorId="0" shapeId="0" xr:uid="{08DD58A4-7607-4933-BA20-4E65D93237F3}">
      <text>
        <r>
          <rPr>
            <b/>
            <sz val="9"/>
            <color indexed="81"/>
            <rFont val="Tahoma"/>
            <family val="2"/>
          </rPr>
          <t>Chris Porter:</t>
        </r>
        <r>
          <rPr>
            <sz val="9"/>
            <color indexed="81"/>
            <rFont val="Tahoma"/>
            <family val="2"/>
          </rPr>
          <t xml:space="preserve">
40% from GHG Rule CBA
60% in CS (2021)</t>
        </r>
      </text>
    </comment>
    <comment ref="I40" authorId="0" shapeId="0" xr:uid="{FEB9104B-6B0F-4A9B-BD7D-F50F6AE6736E}">
      <text>
        <r>
          <rPr>
            <b/>
            <sz val="9"/>
            <color indexed="81"/>
            <rFont val="Tahoma"/>
            <charset val="1"/>
          </rPr>
          <t>Chris Porter:</t>
        </r>
        <r>
          <rPr>
            <sz val="9"/>
            <color indexed="81"/>
            <rFont val="Tahoma"/>
            <charset val="1"/>
          </rPr>
          <t xml:space="preserve">
change to unlinked trip, and change trip length?</t>
        </r>
      </text>
    </comment>
    <comment ref="I50" authorId="0" shapeId="0" xr:uid="{239FA2E9-4EBF-4945-BFEB-7B2000B8DE89}">
      <text>
        <r>
          <rPr>
            <b/>
            <sz val="9"/>
            <color indexed="81"/>
            <rFont val="Tahoma"/>
            <family val="2"/>
          </rPr>
          <t>Chris Porter:</t>
        </r>
        <r>
          <rPr>
            <sz val="9"/>
            <color indexed="81"/>
            <rFont val="Tahoma"/>
            <family val="2"/>
          </rPr>
          <t xml:space="preserve">
Sum of number of runs using affected route length * route length</t>
        </r>
      </text>
    </comment>
    <comment ref="I65" authorId="0" shapeId="0" xr:uid="{F83EBA18-BBA0-47FB-B9A3-E3782F3D8C5D}">
      <text>
        <r>
          <rPr>
            <b/>
            <sz val="9"/>
            <color indexed="81"/>
            <rFont val="Tahoma"/>
            <family val="2"/>
          </rPr>
          <t>Chris Porter:</t>
        </r>
        <r>
          <rPr>
            <sz val="9"/>
            <color indexed="81"/>
            <rFont val="Tahoma"/>
            <family val="2"/>
          </rPr>
          <t xml:space="preserve">
4.52 mi is national average unlinked trip length per FHWA CMAQ Calculator Toolkit.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CDOT </author>
    <author>Chris Porter</author>
  </authors>
  <commentList>
    <comment ref="D20" authorId="0" shapeId="0" xr:uid="{29713514-6325-4754-BB20-DD962DEE4F8C}">
      <text>
        <r>
          <rPr>
            <b/>
            <sz val="9"/>
            <color indexed="81"/>
            <rFont val="Tahoma"/>
            <charset val="1"/>
          </rPr>
          <t>CDOT :</t>
        </r>
        <r>
          <rPr>
            <sz val="9"/>
            <color indexed="81"/>
            <rFont val="Tahoma"/>
            <charset val="1"/>
          </rPr>
          <t xml:space="preserve">
CAPCOA 2021 cites an elasticity of parking demand w/r/t price of -0.4. With a base price of $5 and an increase of $1 that gives roughly the same results as the method here (20% * -0.4 = -8%)</t>
        </r>
      </text>
    </comment>
    <comment ref="H26" authorId="1" shapeId="0" xr:uid="{E76BD446-5DC2-44B9-A0A2-CE45ECC5137A}">
      <text>
        <r>
          <rPr>
            <b/>
            <sz val="9"/>
            <color indexed="81"/>
            <rFont val="Tahoma"/>
            <family val="2"/>
          </rPr>
          <t>Chris Porter:</t>
        </r>
        <r>
          <rPr>
            <sz val="9"/>
            <color indexed="81"/>
            <rFont val="Tahoma"/>
            <family val="2"/>
          </rPr>
          <t xml:space="preserve">
Method based on CAPCOA (2021)</t>
        </r>
      </text>
    </comment>
    <comment ref="H36" authorId="1" shapeId="0" xr:uid="{8C17CAA2-9EEF-4A5B-8039-40A9D874B7DF}">
      <text>
        <r>
          <rPr>
            <b/>
            <sz val="9"/>
            <color indexed="81"/>
            <rFont val="Tahoma"/>
            <family val="2"/>
          </rPr>
          <t>Chris Porter:</t>
        </r>
        <r>
          <rPr>
            <sz val="9"/>
            <color indexed="81"/>
            <rFont val="Tahoma"/>
            <family val="2"/>
          </rPr>
          <t xml:space="preserve">
Method based on CAPCOA (2021)</t>
        </r>
      </text>
    </comment>
    <comment ref="C52" authorId="0" shapeId="0" xr:uid="{01D999DC-3D37-4FDF-B37A-22BEED8B9828}">
      <text>
        <r>
          <rPr>
            <b/>
            <sz val="9"/>
            <color indexed="81"/>
            <rFont val="Tahoma"/>
            <charset val="1"/>
          </rPr>
          <t>CDOT :</t>
        </r>
        <r>
          <rPr>
            <sz val="9"/>
            <color indexed="81"/>
            <rFont val="Tahoma"/>
            <charset val="1"/>
          </rPr>
          <t xml:space="preserve">
Maximums: no more than
0.75 (1 bed/studio/efficiency)
1.0 (2 bed)
1.25 (3+ bed)</t>
        </r>
      </text>
    </comment>
    <comment ref="H52" authorId="0" shapeId="0" xr:uid="{CE973056-6623-4E22-A6F1-D10548BD51C2}">
      <text>
        <r>
          <rPr>
            <b/>
            <sz val="9"/>
            <color indexed="81"/>
            <rFont val="Tahoma"/>
            <charset val="1"/>
          </rPr>
          <t>CDOT :</t>
        </r>
        <r>
          <rPr>
            <sz val="9"/>
            <color indexed="81"/>
            <rFont val="Tahoma"/>
            <charset val="1"/>
          </rPr>
          <t xml:space="preserve">
Method based on CAPCOA (2021)</t>
        </r>
      </text>
    </comment>
    <comment ref="C66" authorId="0" shapeId="0" xr:uid="{FB0340A0-2780-4F97-A3C4-62D37B475495}">
      <text>
        <r>
          <rPr>
            <b/>
            <sz val="9"/>
            <color indexed="81"/>
            <rFont val="Tahoma"/>
            <charset val="1"/>
          </rPr>
          <t>CDOT :</t>
        </r>
        <r>
          <rPr>
            <sz val="9"/>
            <color indexed="81"/>
            <rFont val="Tahoma"/>
            <charset val="1"/>
          </rPr>
          <t xml:space="preserve">
Maximums: no more than
1.0 (1 bed/studio/efficiency)
1.5 (2 bed)
1.75 (3+ bed)</t>
        </r>
      </text>
    </comment>
    <comment ref="H66" authorId="0" shapeId="0" xr:uid="{8D7B8646-FCB7-44E1-9E32-96F074E0165E}">
      <text>
        <r>
          <rPr>
            <b/>
            <sz val="9"/>
            <color indexed="81"/>
            <rFont val="Tahoma"/>
            <charset val="1"/>
          </rPr>
          <t>CDOT :</t>
        </r>
        <r>
          <rPr>
            <sz val="9"/>
            <color indexed="81"/>
            <rFont val="Tahoma"/>
            <charset val="1"/>
          </rPr>
          <t xml:space="preserve">
Method based on CAPCOA (2021)</t>
        </r>
      </text>
    </comment>
    <comment ref="H80" authorId="0" shapeId="0" xr:uid="{AB221D38-4A1B-454A-BF60-E18FE57A9169}">
      <text>
        <r>
          <rPr>
            <b/>
            <sz val="9"/>
            <color indexed="81"/>
            <rFont val="Tahoma"/>
            <charset val="1"/>
          </rPr>
          <t>CDOT :</t>
        </r>
        <r>
          <rPr>
            <sz val="9"/>
            <color indexed="81"/>
            <rFont val="Tahoma"/>
            <charset val="1"/>
          </rPr>
          <t xml:space="preserve">
Method based on CAPCOA (2021)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CDOT </author>
  </authors>
  <commentList>
    <comment ref="H13" authorId="0" shapeId="0" xr:uid="{CBA80E9A-2479-4B4D-95C0-4B11DDC71FAE}">
      <text>
        <r>
          <rPr>
            <b/>
            <sz val="9"/>
            <color indexed="81"/>
            <rFont val="Tahoma"/>
            <charset val="1"/>
          </rPr>
          <t>CDOT :</t>
        </r>
        <r>
          <rPr>
            <sz val="9"/>
            <color indexed="81"/>
            <rFont val="Tahoma"/>
            <charset val="1"/>
          </rPr>
          <t xml:space="preserve">
"smart growth" criteria:
Part of a contiguous area of at least 50 acres meeting requirements for street connectivity (at least 100 street or path intersections per square mile, corresponding to maximum 500' block sizes) and mixed use (at least 10% of land can accommodate non-residential uses)
50 acre minimum and gross density 15 units/acre are consistent with Massachusetts Zoning Act Section 3A, see 
https://www.mass.gov/info-details/draft-compliance-guidelines-for-multi-family-districts-under-section-3a-of-the-zoning-act
15 units/acre is threshold for FTA "medium" rating for transit-supportive land use
The credits may be applied to rezonings starting at a higher base level if the density is at least doubled, e.g., 12 units/acre to 24+ units/acre. For density increases that are less than doubling, points may be scaled. E.g., 15 to 25 units/acre rezoning would receive 2/3 of the point value.</t>
        </r>
      </text>
    </comment>
    <comment ref="H14" authorId="0" shapeId="0" xr:uid="{F79D3036-EF3E-49BB-9E43-B32408047DEE}">
      <text>
        <r>
          <rPr>
            <b/>
            <sz val="9"/>
            <color indexed="81"/>
            <rFont val="Tahoma"/>
            <charset val="1"/>
          </rPr>
          <t>CDOT :</t>
        </r>
        <r>
          <rPr>
            <sz val="9"/>
            <color indexed="81"/>
            <rFont val="Tahoma"/>
            <charset val="1"/>
          </rPr>
          <t xml:space="preserve">
Note: Ewing (2010) has a much smaller -0.04 from meta-analysis of 9 studies.
Larger value (~-0.3) is consistent with VMT/HH data from NHTS, but density may be correlated with other factors; hence the "smart growth" qualifiers on the increased density.</t>
        </r>
      </text>
    </comment>
    <comment ref="H19" authorId="0" shapeId="0" xr:uid="{2548C78A-A94D-4D3C-BBAA-64430F270B1D}">
      <text>
        <r>
          <rPr>
            <b/>
            <sz val="9"/>
            <color indexed="81"/>
            <rFont val="Tahoma"/>
            <charset val="1"/>
          </rPr>
          <t>CDOT :</t>
        </r>
        <r>
          <rPr>
            <sz val="9"/>
            <color indexed="81"/>
            <rFont val="Tahoma"/>
            <charset val="1"/>
          </rPr>
          <t xml:space="preserve">
"smart growth" criteria:
Part of a contiguous area of at least 50 acres meeting requirements for street connectivity (at least 100 street or path intersections per square mile, corresponding to maximum 500' block sizes) and mixed use (at least 20% of land can accommodate residential uses)
1.0 FAR is threshold for FTA "medium" rating for transit-supportive land use</t>
        </r>
      </text>
    </comment>
    <comment ref="H29" authorId="0" shapeId="0" xr:uid="{F5DF1BA2-F5E5-426C-B01A-B9A1BCACC59C}">
      <text>
        <r>
          <rPr>
            <b/>
            <sz val="9"/>
            <color indexed="81"/>
            <rFont val="Tahoma"/>
            <charset val="1"/>
          </rPr>
          <t>CDOT :</t>
        </r>
        <r>
          <rPr>
            <sz val="9"/>
            <color indexed="81"/>
            <rFont val="Tahoma"/>
            <charset val="1"/>
          </rPr>
          <t xml:space="preserve">
"smart growth" criteria:
Part of a contiguous area of at least 50 acres meeting requirements for street connectivity (at least 100 street or path intersections per square mile, corresponding to maximum 500' block sizes) and mixed use (at least 10% of land can accommodate non-residential uses)
50 acre minimum and gross density 15 units/acre are consistent with Massachusetts Zoning Act Section 3A, see 
https://www.mass.gov/info-details/draft-compliance-guidelines-for-multi-family-districts-under-section-3a-of-the-zoning-act
25 units/acre is threshold for FTA "high" rating for transit-supportive land use
Fixed-guideway transit may include rail or BRT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xml:space="preserve">CDOT </author>
  </authors>
  <commentList>
    <comment ref="C20" authorId="0" shapeId="0" xr:uid="{DF34B576-3F18-4340-8EAD-5A799505A216}">
      <text>
        <r>
          <rPr>
            <b/>
            <sz val="9"/>
            <color indexed="81"/>
            <rFont val="Tahoma"/>
            <charset val="1"/>
          </rPr>
          <t>CDOT :</t>
        </r>
        <r>
          <rPr>
            <sz val="9"/>
            <color indexed="81"/>
            <rFont val="Tahoma"/>
            <charset val="1"/>
          </rPr>
          <t xml:space="preserve">
Covered employees = employees (FTE) eligible for TDM at worksites served by TDM program</t>
        </r>
      </text>
    </comment>
    <comment ref="H37" authorId="0" shapeId="0" xr:uid="{74B319A0-70A7-4BCE-8714-9150E27FD99A}">
      <text>
        <r>
          <rPr>
            <b/>
            <sz val="9"/>
            <color indexed="81"/>
            <rFont val="Tahoma"/>
            <charset val="1"/>
          </rPr>
          <t>CDOT :</t>
        </r>
        <r>
          <rPr>
            <sz val="9"/>
            <color indexed="81"/>
            <rFont val="Tahoma"/>
            <charset val="1"/>
          </rPr>
          <t xml:space="preserve">
3.5 - 2019 NTD, all CO vanpools
5.8 - 2019 TDM Plan, total participants / total vans</t>
        </r>
      </text>
    </comment>
    <comment ref="H60" authorId="0" shapeId="0" xr:uid="{BF0C9B91-8E16-4490-8BF2-308FF4B04649}">
      <text>
        <r>
          <rPr>
            <b/>
            <sz val="9"/>
            <color indexed="81"/>
            <rFont val="Tahoma"/>
            <charset val="1"/>
          </rPr>
          <t>CDOT :</t>
        </r>
        <r>
          <rPr>
            <sz val="9"/>
            <color indexed="81"/>
            <rFont val="Tahoma"/>
            <charset val="1"/>
          </rPr>
          <t xml:space="preserve">
Based on data source and analysis frame, rebound effect can range from 30% to over 100%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CDOT </author>
  </authors>
  <commentList>
    <comment ref="K30" authorId="0" shapeId="0" xr:uid="{8767E512-2C8B-4793-B3E9-5C14308167C5}">
      <text>
        <r>
          <rPr>
            <b/>
            <sz val="9"/>
            <color indexed="81"/>
            <rFont val="Tahoma"/>
            <charset val="1"/>
          </rPr>
          <t>CDOT :</t>
        </r>
        <r>
          <rPr>
            <sz val="9"/>
            <color indexed="81"/>
            <rFont val="Tahoma"/>
            <charset val="1"/>
          </rPr>
          <t xml:space="preserve">
Both double-lane roundabouts.
Int 1 replaced 4-leg stop, Int 2 replaced signal. 35-50 mph speed llimits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Chris Porter</author>
  </authors>
  <commentList>
    <comment ref="D13" authorId="0" shapeId="0" xr:uid="{526FBBB6-00CA-430D-8EAA-A37830C61628}">
      <text>
        <r>
          <rPr>
            <b/>
            <sz val="9"/>
            <color indexed="81"/>
            <rFont val="Tahoma"/>
            <family val="2"/>
          </rPr>
          <t>Chris Porter:</t>
        </r>
        <r>
          <rPr>
            <sz val="9"/>
            <color indexed="81"/>
            <rFont val="Tahoma"/>
            <family val="2"/>
          </rPr>
          <t xml:space="preserve">
Not publicly posted, but shareable upon request.</t>
        </r>
      </text>
    </comment>
  </commentList>
</comments>
</file>

<file path=xl/sharedStrings.xml><?xml version="1.0" encoding="utf-8"?>
<sst xmlns="http://schemas.openxmlformats.org/spreadsheetml/2006/main" count="875" uniqueCount="610">
  <si>
    <t>PEDESTRIAN AND BICYCLE STRATEGIES</t>
  </si>
  <si>
    <t>Value</t>
  </si>
  <si>
    <t>Ref</t>
  </si>
  <si>
    <t>Parameter</t>
  </si>
  <si>
    <t>Source/Calculation</t>
  </si>
  <si>
    <t>Metric &amp; Notes</t>
  </si>
  <si>
    <t>Parameters Common Across Strategies</t>
  </si>
  <si>
    <t>A</t>
  </si>
  <si>
    <t>grams CO2 per vehicle-mile (auto)</t>
  </si>
  <si>
    <t>CDOT (2021) - high EV scenario</t>
  </si>
  <si>
    <t>Prior drive mode share of new bikers/walkers</t>
  </si>
  <si>
    <t>B1</t>
  </si>
  <si>
    <t>Owned bikes</t>
  </si>
  <si>
    <t>Transportation Investment Strategy Tool, Table A.4</t>
  </si>
  <si>
    <t>B2</t>
  </si>
  <si>
    <t>Shared bikes and scooters</t>
  </si>
  <si>
    <t>Buehler et al (2019), Mobility Lab (2019), NABSA (2020), Ramboll (2020),  MacArthur et al (2018)</t>
  </si>
  <si>
    <t>Average trip length (mi)</t>
  </si>
  <si>
    <t>C1</t>
  </si>
  <si>
    <t>Bike</t>
  </si>
  <si>
    <t>2009 National Household Travel Survey</t>
  </si>
  <si>
    <t>C2</t>
  </si>
  <si>
    <t>Walk</t>
  </si>
  <si>
    <t>C3</t>
  </si>
  <si>
    <t>Shared bike</t>
  </si>
  <si>
    <t>PBOT (2020) and NABSA (2020)</t>
  </si>
  <si>
    <t>C4</t>
  </si>
  <si>
    <t>Scooter</t>
  </si>
  <si>
    <t>D</t>
  </si>
  <si>
    <t>Annualization factor</t>
  </si>
  <si>
    <t>Per New Facility-Mile:</t>
  </si>
  <si>
    <t>Displaced Auto Miles/yr</t>
  </si>
  <si>
    <t>Bike lane/facility - urban</t>
  </si>
  <si>
    <t>New users: Transportation Investment Strategy Tool documentation, Table A.4</t>
  </si>
  <si>
    <t>Bike lane/facility – suburban</t>
  </si>
  <si>
    <t>Displaced auto miles: New users * C1 * B1 * D</t>
  </si>
  <si>
    <t>Bike lane/facility – rural</t>
  </si>
  <si>
    <t>Sidewalk/ pedestrian facility - urban</t>
  </si>
  <si>
    <t>New users: Transportation Investment Strategy Tool documentation, Table 4.11</t>
  </si>
  <si>
    <t>Sidewalk/ pedestrian facility - suburban</t>
  </si>
  <si>
    <t>Sidewalk/ pedestrian facility – rural</t>
  </si>
  <si>
    <t>Shared-use path - urban</t>
  </si>
  <si>
    <t>Shared-use path – suburban</t>
  </si>
  <si>
    <t>Shared-use path – rural</t>
  </si>
  <si>
    <t>“Complete Streets” reconstruction - urban</t>
  </si>
  <si>
    <t>= Sum of value for bike lane + pedestrian improvements</t>
  </si>
  <si>
    <t>“Complete Streets” reconstruction – suburban</t>
  </si>
  <si>
    <t>Per New Shared Vehicle:</t>
  </si>
  <si>
    <t>Trips per Day</t>
  </si>
  <si>
    <t>Annual Person-Miles</t>
  </si>
  <si>
    <t>Displaced Auto Miles</t>
  </si>
  <si>
    <t>Trips per day: PBOT (2020) and NABSA (2020)</t>
  </si>
  <si>
    <t>Annual person-miles: Trips per day * [C3 or C4]* 365</t>
  </si>
  <si>
    <t>Displaced auto miles: Annual person-miles * B2</t>
  </si>
  <si>
    <t>Change in tons CO2 per new facility-mile (annual):</t>
  </si>
  <si>
    <t>= Displaced auto miles * A / 1000000</t>
  </si>
  <si>
    <t>Change in tons CO2 per 100 new shared vehicles (annual):</t>
  </si>
  <si>
    <t>Points per new facility-mile:</t>
  </si>
  <si>
    <t>Providing a minimum of 1 point, even if CO2 estimate rounds to 0 tons</t>
  </si>
  <si>
    <t>Points per 100 new shared vehicles:</t>
  </si>
  <si>
    <t>TRANSIT STRATEGIES</t>
  </si>
  <si>
    <t>Metric; Source/Calculation</t>
  </si>
  <si>
    <t>Vehicle revenue-miles per revenue-hour</t>
  </si>
  <si>
    <t>A1</t>
  </si>
  <si>
    <t>Fixed-route bus</t>
  </si>
  <si>
    <t>NTD (2019), Colorado agencies</t>
  </si>
  <si>
    <t>A2</t>
  </si>
  <si>
    <t>Demand-response bus</t>
  </si>
  <si>
    <t>Passenger-miles per vehicle-mile</t>
  </si>
  <si>
    <t>NTD (2019), Colorado agencies - Rapid  Bus (RB) service</t>
  </si>
  <si>
    <t>grams CO2 per vehicle-mile</t>
  </si>
  <si>
    <t>CDOT (2021) - high bus electrification (100% electric by 2033)</t>
  </si>
  <si>
    <t xml:space="preserve">2019 based on medium truck MPG from AEO, future years adjusted proportional to fixed-route bus </t>
  </si>
  <si>
    <t>Auto</t>
  </si>
  <si>
    <t>CDOT (2021) - high bus electrification</t>
  </si>
  <si>
    <t>grams CO2 per vehicle-hour</t>
  </si>
  <si>
    <t>CS (2021), scaled by g/mi from CBA analysis for future years</t>
  </si>
  <si>
    <t>Prior drive mode share of new riders</t>
  </si>
  <si>
    <t>CS (2021)</t>
  </si>
  <si>
    <t>F1</t>
  </si>
  <si>
    <t>F2</t>
  </si>
  <si>
    <t>Assumed same as fixed-route</t>
  </si>
  <si>
    <t>G</t>
  </si>
  <si>
    <t>1,000 new vehicle revenue-hours</t>
  </si>
  <si>
    <t>Tons CO2 per new VRH</t>
  </si>
  <si>
    <t>Displaced auto</t>
  </si>
  <si>
    <t>= A1 * B1 * C3 * D / 1000</t>
  </si>
  <si>
    <t>New bus (fleet average)</t>
  </si>
  <si>
    <t>New bus (electric)</t>
  </si>
  <si>
    <t>Net (fleet average bus)</t>
  </si>
  <si>
    <t>= new bus + displaced auto</t>
  </si>
  <si>
    <t>Net (electric bus)</t>
  </si>
  <si>
    <t>Points per new VRH (fleet average bus)</t>
  </si>
  <si>
    <t>Points per new VRH (electric bus)</t>
  </si>
  <si>
    <t>New/increased demand-response bus service - urban/suburban</t>
  </si>
  <si>
    <t>Calculation from above data:</t>
  </si>
  <si>
    <t>New bus</t>
  </si>
  <si>
    <t>= C2 * A2 / 1000</t>
  </si>
  <si>
    <t>Net</t>
  </si>
  <si>
    <t>Points per new VRH</t>
  </si>
  <si>
    <t>Reduce transit fares</t>
  </si>
  <si>
    <t>1 million base annual trips</t>
  </si>
  <si>
    <t>Fare elasticity</t>
  </si>
  <si>
    <t>TCRP Report 95, Chapter 12; CAPCOA (2021)</t>
  </si>
  <si>
    <t>Effects per million annual trip base @ 100% fare reduction (annual)</t>
  </si>
  <si>
    <t>New trips</t>
  </si>
  <si>
    <t>= 1000 * -(fare elasticity)</t>
  </si>
  <si>
    <t>Change in auto VMT</t>
  </si>
  <si>
    <t>= new riders * F1 * D</t>
  </si>
  <si>
    <t>Change in tons CO2</t>
  </si>
  <si>
    <t>= change in auto VMT * C3 / 1000000</t>
  </si>
  <si>
    <t>Points per million trips - free fares</t>
  </si>
  <si>
    <t>Points per million trips - 50% fare reduction</t>
  </si>
  <si>
    <t>Points per million trips - 25% fare reduction</t>
  </si>
  <si>
    <t>Implement bus priority treatments</t>
  </si>
  <si>
    <t>Affected 1,000 VRM per weekday</t>
  </si>
  <si>
    <t>Bus travel time elasticity</t>
  </si>
  <si>
    <t>TCRP Report 95, Chapter 12</t>
  </si>
  <si>
    <t>Typical travel time change (%)</t>
  </si>
  <si>
    <t>CAPCOA (2021)</t>
  </si>
  <si>
    <t>Effects per 1,000 affected VRM (annual)</t>
  </si>
  <si>
    <t>New bus passenger-miles</t>
  </si>
  <si>
    <t>= B1 * elasticity * travel time change * G * 1000</t>
  </si>
  <si>
    <t xml:space="preserve">= new passenger-mi * D </t>
  </si>
  <si>
    <t>Change in auto emissions (t CO2)</t>
  </si>
  <si>
    <t>Change in bus idle emissions (t CO2)</t>
  </si>
  <si>
    <t>Points per 1,000 affected weekday VRM</t>
  </si>
  <si>
    <t>PARKING STRATEGIES</t>
  </si>
  <si>
    <t>CDOT (2021)</t>
  </si>
  <si>
    <t>Excluding electricity sector emissions</t>
  </si>
  <si>
    <t>Transit bus - diesel</t>
  </si>
  <si>
    <t>Transit bus - hybrid-electric</t>
  </si>
  <si>
    <t xml:space="preserve">20% efficiency improvement </t>
  </si>
  <si>
    <t>Transit bus - electric</t>
  </si>
  <si>
    <t>School bus - diesel</t>
  </si>
  <si>
    <t>AFDC school bus mpg for 2017, future year adjustments for Federal MHDV rule, 10.15 kg CO2/gal</t>
  </si>
  <si>
    <t>School bus - electric</t>
  </si>
  <si>
    <t>Medium truck - diesel</t>
  </si>
  <si>
    <t>AEO medium truck mpg for base year, future year adjustments for Federal MHDV rule, 10.15 kg CO2/gal</t>
  </si>
  <si>
    <t>Medium truck - electric</t>
  </si>
  <si>
    <t>Heavy truck - diesel</t>
  </si>
  <si>
    <t>AEO heavy truck mpg for base year, future year adjustments for Federal MHDV rule, 10.15 kg CO2/gal</t>
  </si>
  <si>
    <t>Heavy truck - electric</t>
  </si>
  <si>
    <t>Heavy truck - H2 fuel cell</t>
  </si>
  <si>
    <t>Miles per vehicle per year</t>
  </si>
  <si>
    <t>Transit bus</t>
  </si>
  <si>
    <t>School bus</t>
  </si>
  <si>
    <t>U.S. EPA (2016): 9,939 mi/year, from the 1997 School Bus Fleet Fact Book</t>
  </si>
  <si>
    <t>Medium truck</t>
  </si>
  <si>
    <t>Computed from Argonne National Lab - VISION model (2019) data</t>
  </si>
  <si>
    <t>Heavy truck (electric)</t>
  </si>
  <si>
    <t>69 miles per day for class 7 delivery truck (Gao et al. 2017) - local food delivery</t>
  </si>
  <si>
    <t>Heavy truck (H2 FC)</t>
  </si>
  <si>
    <t>Argonne VISION model, computed average for Class 7/8 truck</t>
  </si>
  <si>
    <t>Transit bus hybrid</t>
  </si>
  <si>
    <t>= miles per year * (g/mi[hybrid] - g/mi[diesel])</t>
  </si>
  <si>
    <t>Transit bus all-electric</t>
  </si>
  <si>
    <t>= miles per year * (g/mi[electric] - g/mi[diesel])</t>
  </si>
  <si>
    <t>Per vehicle</t>
  </si>
  <si>
    <t>CO2 change (tons/year):</t>
  </si>
  <si>
    <t>= Miles/year/vehicle * g/mile / 1000000</t>
  </si>
  <si>
    <t>Hydrogen Refueling Stations</t>
  </si>
  <si>
    <t>Per station</t>
  </si>
  <si>
    <t>Utilization rate</t>
  </si>
  <si>
    <t>RMI (2020): 10% in 5-year term, 30% long-term for DCFC, assumed same for H2</t>
  </si>
  <si>
    <t>Time to refuel (hrs)</t>
  </si>
  <si>
    <t>Daily service time (hrs)</t>
  </si>
  <si>
    <t>RMI (2020): most DCFC demand between 6 am and 10 pm, assumed same for H2</t>
  </si>
  <si>
    <t>Number of vehicles served per station per day</t>
  </si>
  <si>
    <t>= Service time / time to refuel * utilization rate</t>
  </si>
  <si>
    <t>H2 % renewable (vs. natural gas)</t>
  </si>
  <si>
    <t>Assumption</t>
  </si>
  <si>
    <t>H2 carbon intensity, g CO2/MJ</t>
  </si>
  <si>
    <t>Compressed, central NG reform</t>
  </si>
  <si>
    <t>CARB (2015) value of 152.5 life-cycle, deflated based on ratio of direct to life-cycle for diesel</t>
  </si>
  <si>
    <t>Compressed, on-site renewable</t>
  </si>
  <si>
    <t>CARB (2015) value of 62.1 life-cycle, deflated based on ratio of direct to life-cycle for diesel</t>
  </si>
  <si>
    <t>Weighted average</t>
  </si>
  <si>
    <t>Calculated</t>
  </si>
  <si>
    <t>H2 carbon intensity, g CO2/GDE</t>
  </si>
  <si>
    <t>= g CO2/MJ * 136 MJ/GDE [GDE = gallon diesel equivalent]</t>
  </si>
  <si>
    <t>Heavy truck diesel mi/gallon</t>
  </si>
  <si>
    <t>AEO, 2019 Reference Case</t>
  </si>
  <si>
    <t>H2/diesel energy efficiency ratio (EER)</t>
  </si>
  <si>
    <t>GREET model, v.2020</t>
  </si>
  <si>
    <t>Heavy truck H2 g CO2/mi</t>
  </si>
  <si>
    <t>= g CO2/GDE / mi/gal / EER</t>
  </si>
  <si>
    <t>per H2 truck served</t>
  </si>
  <si>
    <t>per H2 station</t>
  </si>
  <si>
    <t>= CO2 change/truck * trucks/charger</t>
  </si>
  <si>
    <t>Points per new station</t>
  </si>
  <si>
    <t>B</t>
  </si>
  <si>
    <t>Average trip length (mi) - all purposes</t>
  </si>
  <si>
    <t>2017 NHTS Trends, Table 6b</t>
  </si>
  <si>
    <t>C</t>
  </si>
  <si>
    <t>Annual miles driven</t>
  </si>
  <si>
    <t>D1</t>
  </si>
  <si>
    <t>D2</t>
  </si>
  <si>
    <t>Per household</t>
  </si>
  <si>
    <t>FHWA (2018), based on 2017 NHTS</t>
  </si>
  <si>
    <t>D3</t>
  </si>
  <si>
    <t>Per worker (commuting)</t>
  </si>
  <si>
    <t>2017 NHTS work trip length * 2 * 250</t>
  </si>
  <si>
    <t>Additional Fee on Parking</t>
  </si>
  <si>
    <t>Elasticity of driving w/r/t fuel price</t>
  </si>
  <si>
    <t>Small and van Dender (2007)</t>
  </si>
  <si>
    <t>Price of gasoline ($/gal)</t>
  </si>
  <si>
    <t>AEO 2022 Reference case for 2021</t>
  </si>
  <si>
    <t>Average mpg</t>
  </si>
  <si>
    <t>AEO 2020 Reference Case, Table 7</t>
  </si>
  <si>
    <t>$1 parking fee equivalent cost per mile</t>
  </si>
  <si>
    <t>$1.00 / B</t>
  </si>
  <si>
    <t>$1 parking fee equivalent cost per gallon</t>
  </si>
  <si>
    <t>= Cost per mile * miles per gallon</t>
  </si>
  <si>
    <t>Leakage factor (destination change)</t>
  </si>
  <si>
    <t>Placeholder for people to shift trip destination rather than paying fee. No good research.</t>
  </si>
  <si>
    <t>% VMT change for affected trips</t>
  </si>
  <si>
    <t>= Fee cost per gallon / gas cost per gallon * elasticity</t>
  </si>
  <si>
    <t>Trips per covered space per day</t>
  </si>
  <si>
    <t>Assumes 1 round trip to a workplace or home.  For short-term parking, fee is prorated.</t>
  </si>
  <si>
    <t>Change in annual VMT per space per $</t>
  </si>
  <si>
    <t>= Change in VMT * 1000 * A / 1000000</t>
  </si>
  <si>
    <t>Unbundle Residential Parking</t>
  </si>
  <si>
    <t>Annual parking cost per space</t>
  </si>
  <si>
    <t>= $100 * 12</t>
  </si>
  <si>
    <t>Annual vehicle cost</t>
  </si>
  <si>
    <t>AAA (2021)</t>
  </si>
  <si>
    <t>Elasticity of vehicle ownership with respect to total vehicle cost</t>
  </si>
  <si>
    <t>Litman (2021)</t>
  </si>
  <si>
    <t>Adjustment factor from vehicle ownership to VMT</t>
  </si>
  <si>
    <t>FHWA (2017), as cited in CAPCOA (2021)</t>
  </si>
  <si>
    <t>Percent reduction in miles per vehicle</t>
  </si>
  <si>
    <t>= (parking cost) / (vehicle cost) * elasticity * adjustment factor</t>
  </si>
  <si>
    <t>Change in annual VMT per space per $100/mo</t>
  </si>
  <si>
    <t>= D1 * percent reduction</t>
  </si>
  <si>
    <t>Eliminate minimum parking requirements and set maximum levels (residential)</t>
  </si>
  <si>
    <t>% change in commute driving for workers with limited parking (&lt;1 space/unit)</t>
  </si>
  <si>
    <t>Chatman (2013), as cited in CAPCOA (2021)</t>
  </si>
  <si>
    <t>% of vehicle-travel that is commute travel</t>
  </si>
  <si>
    <t>% change in vehicle-travel from limited parking</t>
  </si>
  <si>
    <t>= % change in commute driving * % travel that is commute travel</t>
  </si>
  <si>
    <t>Change in annual VMT per DU</t>
  </si>
  <si>
    <t>= D2 * percent reduction</t>
  </si>
  <si>
    <t>Eliminate minimum parking requirements and set maximum levels (workplace)</t>
  </si>
  <si>
    <t>Per 1,000 sq. ft.</t>
  </si>
  <si>
    <t>% change in commute driving for workers with limited parking</t>
  </si>
  <si>
    <t>Chatman (2013) for residential, as cited in CAPCOA (2021)</t>
  </si>
  <si>
    <t>Change in commute VMT per affected worker</t>
  </si>
  <si>
    <t>= D3 * % change in commute driving</t>
  </si>
  <si>
    <t>Workers per 1,000 square feet</t>
  </si>
  <si>
    <t>Assumes 250 sq. ft/worker (office/R&amp;D)</t>
  </si>
  <si>
    <t>Change in annual VMT per 1,000 sq. ft.</t>
  </si>
  <si>
    <t>Change in annual tons CO2 per 1,000 sq. ft.</t>
  </si>
  <si>
    <t>Points per 1,000 sq. ft</t>
  </si>
  <si>
    <t>TRAVEL DEMAND MANAGEMENT STRATEGIES</t>
  </si>
  <si>
    <t>Vanpool</t>
  </si>
  <si>
    <t>Base year assumed 10 mpg, future year efficiency/electrification adjustments proportional to auto</t>
  </si>
  <si>
    <t>Average work trip length (mi)</t>
  </si>
  <si>
    <t>FHWA (2018), Table 26</t>
  </si>
  <si>
    <t>TCRP Report 95, Chapter 5. Typical average length is close to 25 miles (p. 5-13, Table 5-5)</t>
  </si>
  <si>
    <t>TCRP Report 95, Chapter 5, Table 5-6</t>
  </si>
  <si>
    <t>Commute Trip Reduction Program - Voluntary</t>
  </si>
  <si>
    <t>Per Program $1,000</t>
  </si>
  <si>
    <t>Change in annual VMT per program $</t>
  </si>
  <si>
    <t>MWCOG (2009), as analyzed by CS for Colorado DOT (2010) and updated 2022</t>
  </si>
  <si>
    <t>Change in annual tons CO2 per $1,000</t>
  </si>
  <si>
    <t>= Change in VMT * 1000 * A1 / 1000000</t>
  </si>
  <si>
    <t xml:space="preserve">Points per program $1,000 </t>
  </si>
  <si>
    <t>Commute Trip Reduction Program - Mandatory</t>
  </si>
  <si>
    <t>Per 1,000 Covered Employees</t>
  </si>
  <si>
    <t>VMT change by covered workers (%)</t>
  </si>
  <si>
    <t>WSCTRB (2017)</t>
  </si>
  <si>
    <t>= % VMT Change * B1 * 2 * C * 1000</t>
  </si>
  <si>
    <t>Change in annual tons CO2 per $</t>
  </si>
  <si>
    <t>= Change in VMT * A1 / 1000000</t>
  </si>
  <si>
    <t>Commute Trip Reduction Program - Marketing</t>
  </si>
  <si>
    <t>Annual VMT reduced per program $</t>
  </si>
  <si>
    <t>Employer Sponsored Vanpool</t>
  </si>
  <si>
    <t>Per New Vanpool</t>
  </si>
  <si>
    <t>Average vanpool occupancy</t>
  </si>
  <si>
    <t>CDOT (2019), total participants / total vans</t>
  </si>
  <si>
    <t>Prior drive mode share of new vanpoolers</t>
  </si>
  <si>
    <t>TCRP Report 95, Chapter 5, p. 5-34. Total prior auto drivers, counting in carpool drivers, are in the 45% to over 65% range</t>
  </si>
  <si>
    <t>Vanpool circuity factor</t>
  </si>
  <si>
    <t>Estimate (ratio of distance driven by van to distance driven by individuals commuting on shortest path)</t>
  </si>
  <si>
    <t>Annual VMT change per new vanpool</t>
  </si>
  <si>
    <t>= occupancy * prior drive mode share * B1 * C</t>
  </si>
  <si>
    <t>= circuity factor * B1 * C</t>
  </si>
  <si>
    <t>Change in annual tons CO2 per new vanpool</t>
  </si>
  <si>
    <t>= Change in auto VMT * A1 / 1000000</t>
  </si>
  <si>
    <t>= Change in vanpool VMT * A2 / 1000000</t>
  </si>
  <si>
    <t>= Sum of auto and vanpool change</t>
  </si>
  <si>
    <t>Carshare</t>
  </si>
  <si>
    <t>Per # cars provided</t>
  </si>
  <si>
    <t>Households served per car</t>
  </si>
  <si>
    <t>Litman (2018) - typically 10-20 members per vehicle</t>
  </si>
  <si>
    <t>Annual VMT reduction per HH served</t>
  </si>
  <si>
    <t>Litman (2018) - carshare HHs are typically lower mileage HHs who reduce travel 50% (6,000 to 3,000 annual miles)</t>
  </si>
  <si>
    <t>Change in annual CO2 per car (tons)</t>
  </si>
  <si>
    <t>Points per new carshare vehicle</t>
  </si>
  <si>
    <t>grams CO2 per vehicle-mile (heavy truck)</t>
  </si>
  <si>
    <t>Based on AEO forecast mpg (no electrification)</t>
  </si>
  <si>
    <t>CO2 fraction from heavy vehicles (2019)</t>
  </si>
  <si>
    <t>National average based on AEO data</t>
  </si>
  <si>
    <t>kg CO2 per hour of delay (all traffic)</t>
  </si>
  <si>
    <t>2019 based on TTI (2021), future years adjusted by relative efficiency improvement of autos and heavy trucks</t>
  </si>
  <si>
    <t>Retime/optimize arterial signals</t>
  </si>
  <si>
    <t>Per 10,000 AADT per signal</t>
  </si>
  <si>
    <t>Sample corridor length (mi)</t>
  </si>
  <si>
    <t>Signals per mile</t>
  </si>
  <si>
    <t>Baseline corridor travel speed (mph)</t>
  </si>
  <si>
    <t>USDOT (2010), p. 4-24: travel time reductions of 8-25% possible for preset signals, or 8-41% for actuated signals</t>
  </si>
  <si>
    <t>New corridor travel speed (mph)</t>
  </si>
  <si>
    <t>Calculation</t>
  </si>
  <si>
    <t>Average daily arterial traffic volume at signal</t>
  </si>
  <si>
    <t>Change in travel time per vehicle (hours)</t>
  </si>
  <si>
    <t>Daily total delay reduction (hours)</t>
  </si>
  <si>
    <t>Annual change in tons CO2 per signal</t>
  </si>
  <si>
    <t>Points per signal per 10,000 AADT</t>
  </si>
  <si>
    <t>Roundabout</t>
  </si>
  <si>
    <t>Annual t CO2 reduced per roundabout</t>
  </si>
  <si>
    <t>Based on San Diego County and NYT (2021) citing 20,000 gallons saved/year; reducing 22% to account for 2025 vs. 2012 fuel consumption rates</t>
  </si>
  <si>
    <t>Points per roundabout</t>
  </si>
  <si>
    <t>Cited by San Diego County and Carmel, IN. Source unknown.</t>
  </si>
  <si>
    <t>Cite per above</t>
  </si>
  <si>
    <t>Calculated from above 20,000 gal</t>
  </si>
  <si>
    <t>NY study (Hesch), based on Rotterdam</t>
  </si>
  <si>
    <t>NY study (Hesch), based on study simulation estimate of 122 kg/hr saved</t>
  </si>
  <si>
    <t>Short Name</t>
  </si>
  <si>
    <t>Citation</t>
  </si>
  <si>
    <t>Formatting notes</t>
  </si>
  <si>
    <t>AAA (2021). Your Driving Costs.</t>
  </si>
  <si>
    <t xml:space="preserve">AEO </t>
  </si>
  <si>
    <t>U.S. Department of Energy, Annual Energy Outlook Reference Case, 2019 or 2022</t>
  </si>
  <si>
    <t>formula referencing value in another strategy</t>
  </si>
  <si>
    <t>AFDC</t>
  </si>
  <si>
    <t>Alternative Fuels Data Center</t>
  </si>
  <si>
    <t>output (points)</t>
  </si>
  <si>
    <t>Buehler (2012)</t>
  </si>
  <si>
    <t>Buehler, R., and J. Pucher (2012). “Cycling to Work in 90 Large American Cities: New Evidence on the Role of Bike Paths and Lanes.” Transportation 39:409–432.</t>
  </si>
  <si>
    <t>future years copied from base year</t>
  </si>
  <si>
    <t>California Air Pollution Control Officers Association (2021). Handbook for Analyzing Greenhouse Gas Emission Reductions, Assessing Climate Vulnerabilities, and Advancing Health and Equity.</t>
  </si>
  <si>
    <t>CARB (2015)</t>
  </si>
  <si>
    <t>California Air Resources Board (2015). Staff Report: Calculating Life Cycle Carbon Intensity Value of Transportation Fuels in California.</t>
  </si>
  <si>
    <t>CDOT (2019)</t>
  </si>
  <si>
    <t>Colorado Department of Transportation (2019). Statewide Transportation Demand Management Plan. Phase 1 Report: Colorado Transportation Options. Prepared by Wilson &amp; Company, Inc.</t>
  </si>
  <si>
    <t>CS (2010)</t>
  </si>
  <si>
    <t>Cambridge Systematics and Sprinkle Consulting (2010). Transportation Demand Management Project Evaluation and Funding Methods in the Denver Region. Prepared for Colorado DOT.</t>
  </si>
  <si>
    <t>Cambridge Systematics (2021). Transportation Investment Strategy Tool Documentation, 2021. Prepared for Georgetown Climate Center.</t>
  </si>
  <si>
    <t>FHWA (2018)</t>
  </si>
  <si>
    <t>McGuckin, N. and A. Fucci (2018). Summary of Travel Trends: 2017 National Household Travel Survey. U.S. Department of Transportation, Federal Highway Administration, FHWA-PL-18-019.</t>
  </si>
  <si>
    <t>ITF (2020)</t>
  </si>
  <si>
    <t>International Transport Forum (ITF). (2020). “Good to Go? Assessing the Environmental Performance of New Mobility.”</t>
  </si>
  <si>
    <t>Litman (2018)</t>
  </si>
  <si>
    <t>Litman, T. (2018). TDM Encyclopedia: Carsharing. Victoria Transport Policy Institute.</t>
  </si>
  <si>
    <t>Litman, T. (2021). TDM Encyclopedia: Parking Requirement Impacts on Housing Affordability. Victoria Transport Policy Institute.</t>
  </si>
  <si>
    <t>MacArthur (2018)</t>
  </si>
  <si>
    <t>MacArthur, J., C. Cherry, M. Harpool and D. Scheppke. (2018). A North American Survey of Electric Bicycle Owners. NITC-RR-1041. Portland, OR: Transportation Research and Education Center (TREC). https://dx.doi.org/10.15760/ trec.197</t>
  </si>
  <si>
    <t>Mobility Lab (2019)</t>
  </si>
  <si>
    <t>Mobility Lab, Arlington County Commuter Services (ACCS). (2019). Arlington County Shared Mobility (SMD) Pilot Evaluation Report.</t>
  </si>
  <si>
    <t>MWCOG (2009)</t>
  </si>
  <si>
    <t>LDA Consulting et al for Metro Washington Council of Governments (2009). Transportation Emission Reduction Analysis Report, FY 2006–2008.</t>
  </si>
  <si>
    <t>NABSA (2020)</t>
  </si>
  <si>
    <t>NACTO (2018)</t>
  </si>
  <si>
    <t>National Association of City Transportation Officials (NACTO). (2018). Shared Micromobility in the U.S.: 2018.</t>
  </si>
  <si>
    <t>NTD (2019)</t>
  </si>
  <si>
    <t>2019 National Transit Database (data analysis by Cambridge Systematics)</t>
  </si>
  <si>
    <t>PBOT (2020)</t>
  </si>
  <si>
    <t>Ramboll (2020)</t>
  </si>
  <si>
    <t>Ramboll. (2020). Achieving Sustainable Micro-mobility. &lt;https://ramboll.com/-/media/files/rgr/documents/markets/transport/m/ramboll_micro-mobility_greenpaper_a4_0320_lowres_v.pdf?la=en&gt;</t>
  </si>
  <si>
    <t>Rabi (2012)</t>
  </si>
  <si>
    <t>Rabi, A. and A. de Nazelle (2012). “Benefits of Shift from Car to Active Transport.” Transport Policy 19(1).</t>
  </si>
  <si>
    <t>RMI (2020)</t>
  </si>
  <si>
    <t>Rocky Mountain Institute (2020). DCFC Rate Design Study. Prepared for Colorado Energy Office.</t>
  </si>
  <si>
    <t>Small, K. and K. Van Dender (2007). Fuel Efficiency and Motor Vehicle Travel: The Declining Rebound Effect. The Energy Journal, 28:1.</t>
  </si>
  <si>
    <t>TCRP Report 95 Chapter 12</t>
  </si>
  <si>
    <t>McCollom, B.E., and R. H. Pratt, et al (2004). TCRP Report 95, Traveler Response to Transportation System Changes. Chapter 12: Transit Pricing and Fares. Transportation Research Board, Washington, D.C.</t>
  </si>
  <si>
    <t>TCRP Report 95 Chapter 5</t>
  </si>
  <si>
    <t>Evans, J.E., and R. H. Pratt, et al (2005). TCRP Report 95, Traveler Response to Transportation System Changes. Chapter 5: Vanpools and Buspools. Transportation Research Board, Washington, D.C.</t>
  </si>
  <si>
    <t>TTI (2021)</t>
  </si>
  <si>
    <t>Texas A&amp;M Transportation Institute (2021). Urban Mobility Report. As analyzed in Cambridge Systematics (2021).</t>
  </si>
  <si>
    <t>U.S. EPA (2016)</t>
  </si>
  <si>
    <t>U.S. Environmental Protection Agency (EPA) (2016). Population and Activity of On-road Vehicles in MOVES2014. EPA-420-R-16-003.</t>
  </si>
  <si>
    <t>USDOT (2010)</t>
  </si>
  <si>
    <t>U.S. Department of Transportation (2010). Transportation's Role in Reducing U.S. Greenhouse Gas Emissions.</t>
  </si>
  <si>
    <t>Washington State Commute Trip Reduction Board (2017). 2017 Report to the Legislature.</t>
  </si>
  <si>
    <t>Vanpool, fleet average</t>
  </si>
  <si>
    <t>A3</t>
  </si>
  <si>
    <t>Vanpool, electric</t>
  </si>
  <si>
    <t>= Change in vanpool VMT * A3 / 1000000</t>
  </si>
  <si>
    <t>Net, fleet average vanpool</t>
  </si>
  <si>
    <t>Net, electric vanpool</t>
  </si>
  <si>
    <t>Points per new vanpool (fleet average)</t>
  </si>
  <si>
    <t>Points per new vanpool (electric)</t>
  </si>
  <si>
    <t>Transit bus - CNG</t>
  </si>
  <si>
    <t>gCO2e/ GGE</t>
  </si>
  <si>
    <t>Kg-CO2 per MillionBtu</t>
  </si>
  <si>
    <t>BTU/gal</t>
  </si>
  <si>
    <t>Source:</t>
  </si>
  <si>
    <t>NEMS output (2019)</t>
  </si>
  <si>
    <t>NEMS (2019)</t>
  </si>
  <si>
    <t>CNG efficiency factor vs. diesel</t>
  </si>
  <si>
    <t>GDE/GGE</t>
  </si>
  <si>
    <t>gCO2e/ GDE</t>
  </si>
  <si>
    <t>CNG Bus Emissions</t>
  </si>
  <si>
    <t>Diesel Bus Emissions</t>
  </si>
  <si>
    <t>CNG/diesel direct emissions</t>
  </si>
  <si>
    <t>*does not include lifecycle emissions, which may be larger for CNG than diesel, depending on production pathway, methane leakage, etc.</t>
  </si>
  <si>
    <t>CO2 change per  vehicle (tons/year)</t>
  </si>
  <si>
    <t>School bus electric</t>
  </si>
  <si>
    <t>Medium truck electric</t>
  </si>
  <si>
    <t>Heavy truck electric</t>
  </si>
  <si>
    <t>Transit bus CNG</t>
  </si>
  <si>
    <t>= miles per year * (g/mi[CNG] - g/mi[diesel])</t>
  </si>
  <si>
    <t>Points per new  vehicle</t>
  </si>
  <si>
    <t>Calculated based on 0.60 ratio of CNG to diesel direct CO2 emissions per unit energy</t>
  </si>
  <si>
    <t>= 1000 * A1 * B1 * C3 * D / 1000000</t>
  </si>
  <si>
    <t>= 1000 * C1 * A1 * / 1000000</t>
  </si>
  <si>
    <t>Induced travel elasticity (% change in VMT with respect to % change in travel time)</t>
  </si>
  <si>
    <t>Corridor travel time change (%)</t>
  </si>
  <si>
    <t>From delay reduction</t>
  </si>
  <si>
    <t>From VMT increase</t>
  </si>
  <si>
    <t>Net CO2 change</t>
  </si>
  <si>
    <t>New volume</t>
  </si>
  <si>
    <t>[U.K.] Highways Agency (1997)</t>
  </si>
  <si>
    <t>[U.K.] Highways Agency (1997). Design Manual for Roads and Bridges, Volume 12, Section 2, Part 2: Induced Traffic Appraisal.</t>
  </si>
  <si>
    <t>[U.K.] Highways Agency (1997), recommended value of -0.20 to -0.33 for "urban areas with low modal competition, or interurban"; Barr (2000), -0.3 to -0.5</t>
  </si>
  <si>
    <t>Barr (2000)</t>
  </si>
  <si>
    <t>Barr, L.C. (2000). "Testing for the significance of induced highway travel demand in metropolitan areas", Transportation Research Record: Journal of the Transportation Research Board, vol. 1706.</t>
  </si>
  <si>
    <t>Per 10,000 AADT per roundabout</t>
  </si>
  <si>
    <t>Int 1</t>
  </si>
  <si>
    <t>Int 2</t>
  </si>
  <si>
    <t>CO2 kg/hr</t>
  </si>
  <si>
    <t>Hourly Volume</t>
  </si>
  <si>
    <t>Before</t>
  </si>
  <si>
    <t>After</t>
  </si>
  <si>
    <t>Change</t>
  </si>
  <si>
    <t>Average</t>
  </si>
  <si>
    <t>Hu et al (2014)</t>
  </si>
  <si>
    <t>Analysis year unspecified, estimated 2012</t>
  </si>
  <si>
    <t>Intersection</t>
  </si>
  <si>
    <t>CO2 change, tons/year/10,000 AADT</t>
  </si>
  <si>
    <t>CO2 kg/veh</t>
  </si>
  <si>
    <t>CO2 change, kg/vehicle</t>
  </si>
  <si>
    <t>Annual vehicles</t>
  </si>
  <si>
    <t>Points per roundabout per 10,000 AADT</t>
  </si>
  <si>
    <t>Hu, W.; A.T. McCartt, J.S. Jermakian, S. Mandavilli (2014). Public Opinion, Traffic Performance, the Environment, and Safety After Construction of Double-Lane Roundabouts. Transportation Research Record no. 2402.</t>
  </si>
  <si>
    <t>Calculated from data in Hu et al (2014), adjusted for ratio of 2025 to 2012 emissions based on AEO data</t>
  </si>
  <si>
    <t>Bike lane/facility - core urban</t>
  </si>
  <si>
    <t>Sidewalk/ pedestrian facility - core urban</t>
  </si>
  <si>
    <t>Shared-use path - core urban</t>
  </si>
  <si>
    <t>“Complete Streets” reconstruction - core urban</t>
  </si>
  <si>
    <t>B3</t>
  </si>
  <si>
    <t>Walkers</t>
  </si>
  <si>
    <t>New Bicyclists (Daily)</t>
  </si>
  <si>
    <t>New Walkers (Daily)</t>
  </si>
  <si>
    <t>New bicyclists: Transportation Investment Strategy Tool documentation, Table A.4</t>
  </si>
  <si>
    <t>New walkers: Same as sidewalk/pedestrian facility</t>
  </si>
  <si>
    <t>% change in work trip VMT for covered employees</t>
  </si>
  <si>
    <t>VMT change per 1,000 covered employee (annual)</t>
  </si>
  <si>
    <t>Points per 1,000 covered employees</t>
  </si>
  <si>
    <t>LAND USE STRATEGIES</t>
  </si>
  <si>
    <t>Increase Residential Density</t>
  </si>
  <si>
    <t>Stevens (2016), as cited in CAPCOA (2021)</t>
  </si>
  <si>
    <t>Increase Job Density</t>
  </si>
  <si>
    <t>Change in annual CO2 (tons) per rezoned acre</t>
  </si>
  <si>
    <t>Change in annual VMT per residential unit</t>
  </si>
  <si>
    <t>Points per rezoned acre</t>
  </si>
  <si>
    <t>Elasticity of VMT with respect to job density</t>
  </si>
  <si>
    <t>Elasticity of VMT with respect to residential density</t>
  </si>
  <si>
    <t>Square feet of building space per employee</t>
  </si>
  <si>
    <t>Employees per acre at 1.0 FAR</t>
  </si>
  <si>
    <t>43,560 / square feet/employee</t>
  </si>
  <si>
    <t>Annual work trip VMT per employee</t>
  </si>
  <si>
    <t>Baseline</t>
  </si>
  <si>
    <t>Change from rezoning</t>
  </si>
  <si>
    <t>USDOT (2010), p. 5-75, 5% reduction in SOV mode share; Boarnet (2014) as cited in CAPCOA (2021), 4-6% VMT reduction</t>
  </si>
  <si>
    <t>Per acre rezoned from &lt;10 units/acre to at least 15-25 units/acre meeting "smart growth" criteria</t>
  </si>
  <si>
    <t>Per acre rezoned from &lt;0.5 FAR to at least 1.0 FAR meeting "smart growth" criteria</t>
  </si>
  <si>
    <t>Change in annual VMT per rezoned acre</t>
  </si>
  <si>
    <t>Per acre of area rezoned for mixed-use TOD accommodating at least 25 residential units/acre and 150 jobs/acre, within 1/2 mile of fixed-guideway transit station</t>
  </si>
  <si>
    <t>Telework</t>
  </si>
  <si>
    <t>Rebound effect (additional non-work travel as % of reduced work travel)</t>
  </si>
  <si>
    <t>Change in annual CO2 per 100 new teleworkers per additional day per week (tons)</t>
  </si>
  <si>
    <t>Daily work trip VMT change per new teleworker</t>
  </si>
  <si>
    <t xml:space="preserve">Annual VMT change per 100 new teleworkers per additional day per week </t>
  </si>
  <si>
    <t>Per 100 employees teleworking additional 1 day/week</t>
  </si>
  <si>
    <t>"Overall rebound effect" for a telecommuter on a telecommuter day, based on analysis of 2012-2013 California Household Travel Survey (CS, 2019)</t>
  </si>
  <si>
    <t>CS (2019)</t>
  </si>
  <si>
    <t>Cambridge Systematics (2019). "The Future of the Workplace: How Will Economic and Technological Changes Affect Work Travel and Emissions?" Presented to Southern California Association of Governments.</t>
  </si>
  <si>
    <t>= Daily VMT change * (1 - rebound effect) * 48 weeks/year</t>
  </si>
  <si>
    <t>= B1 * 2</t>
  </si>
  <si>
    <t>= Change in VMT * A1 * 100 / 1000000</t>
  </si>
  <si>
    <t>= Change in VMT/acre * A / 1000000</t>
  </si>
  <si>
    <t>= Change in VMT/unit * 25 + change in VMT/employee * 150</t>
  </si>
  <si>
    <t>= D2 * elasticity * 100% density increase (assumes typical density 9 units/ac per CAPCOA is doubled to 18 units/ac)</t>
  </si>
  <si>
    <t>= Change in VMT/unit * A * 18 / 1000000</t>
  </si>
  <si>
    <t>= TDM-B1 * TDM-C * 2</t>
  </si>
  <si>
    <t>= Baseline VMT * elasticity * 100% density increase</t>
  </si>
  <si>
    <t>= Change in VMT/employee * employees/acre * A / 1000000</t>
  </si>
  <si>
    <t>= Volume + [Volume * % travel time change * elasticity]</t>
  </si>
  <si>
    <t>= Delay reduction * CO2/hour * 365 / 1000</t>
  </si>
  <si>
    <t>= Volume change * miles/signal * g/mi [auto] * 365 / 1000000</t>
  </si>
  <si>
    <t>= 10,000 * 365</t>
  </si>
  <si>
    <t>= Vehicles * kg/vehicle / 1000</t>
  </si>
  <si>
    <t>User-input method for new transit service</t>
  </si>
  <si>
    <t>Anticipated share of new riders who previously drove or used a taxi/TNC</t>
  </si>
  <si>
    <t>Transit vehicle technology</t>
  </si>
  <si>
    <t>Transit vehicle size</t>
  </si>
  <si>
    <t>35-40' bus</t>
  </si>
  <si>
    <t>15-20' van</t>
  </si>
  <si>
    <t>size</t>
  </si>
  <si>
    <t>technology</t>
  </si>
  <si>
    <t>diesel</t>
  </si>
  <si>
    <t>CNG</t>
  </si>
  <si>
    <t>hybrid electric</t>
  </si>
  <si>
    <t>electric</t>
  </si>
  <si>
    <t>Agency service plan</t>
  </si>
  <si>
    <t>Agency estimate based on survey, model, or similar service</t>
  </si>
  <si>
    <t>Average unlinked trip length of new riders (mi)</t>
  </si>
  <si>
    <t>Agency estimate based on rider surveys or local mode shares. Use 60% if no local data available.</t>
  </si>
  <si>
    <t>Agency estimate based on rider surveys, models, or data. Use 4.52 if no local data available.</t>
  </si>
  <si>
    <t>Planned new annual vehicle revenue-miles</t>
  </si>
  <si>
    <t>Anticipated new ridership (annual unlinked trips)</t>
  </si>
  <si>
    <t>Average load factor for new service</t>
  </si>
  <si>
    <t>Change in annual auto VMT</t>
  </si>
  <si>
    <t>New bus service</t>
  </si>
  <si>
    <t>Net change</t>
  </si>
  <si>
    <t>Change in annual tons CO2</t>
  </si>
  <si>
    <t>Points</t>
  </si>
  <si>
    <t>Emission Factors</t>
  </si>
  <si>
    <t>Lists</t>
  </si>
  <si>
    <t>fleet average</t>
  </si>
  <si>
    <t xml:space="preserve">User input </t>
  </si>
  <si>
    <t>= new riders * trip length / new revenue-miles</t>
  </si>
  <si>
    <t>= new riders * trip length * prior drive mode share</t>
  </si>
  <si>
    <t>Broadband</t>
  </si>
  <si>
    <t>Per 100 new households served</t>
  </si>
  <si>
    <t>% VMT for "personal business"</t>
  </si>
  <si>
    <t>% VMT for work</t>
  </si>
  <si>
    <t>FHWA (2018), Table 6a</t>
  </si>
  <si>
    <t>Annual household VMT change per new broadband service point</t>
  </si>
  <si>
    <t>Change in personal business VMT due to tele-travel</t>
  </si>
  <si>
    <t>Change in annual CO2 per 100 new households served with broadband (tons)</t>
  </si>
  <si>
    <t xml:space="preserve">Points per 100 new households served with broadband </t>
  </si>
  <si>
    <t xml:space="preserve">Points per 100 new teleworkers per additional day per week </t>
  </si>
  <si>
    <t>= [Land Use-D2] * (% VMT * VMT reduction for personal business + % VMT * VMT reduction for work)</t>
  </si>
  <si>
    <t>Colorado DOT</t>
  </si>
  <si>
    <t xml:space="preserve">Change in work travel due to work-from-home </t>
  </si>
  <si>
    <t>Per vehicle replacing a diesel vehicle</t>
  </si>
  <si>
    <t>Change in annual tons CO2 per 100 spaces per $</t>
  </si>
  <si>
    <t>Per 1,000 covered spaces per daily dollar fee</t>
  </si>
  <si>
    <t>Points per 1,000 spaces per $ daily fee</t>
  </si>
  <si>
    <t>Points per 1,000 spaces per $100 monthly cost</t>
  </si>
  <si>
    <t>Per 1,000 dwelling unit (DU)</t>
  </si>
  <si>
    <t>Points per 1,000 DU</t>
  </si>
  <si>
    <t>Change in annual tons CO2 per 1,000 DU</t>
  </si>
  <si>
    <t>Change in annual tons CO2 per 1,000 space per $</t>
  </si>
  <si>
    <t>ULI’s “Parking Policy Reform - Potential Benefits of Implementing Off-Street Parking Policy Updates,” 01.24. 2020 https://americas.uli.org/wp-content/uploads/sites/2/ULI-Documents/ULI-Parking-Policy-Research-Potential-Benefits-of-Reforms.pdf</t>
  </si>
  <si>
    <t>SJSU/VTA Collaborative Research Project, “A Parking Utilization Survey of Transit-Oriented Development Residential Properties in Santa Clara County,” 11.2010 http://www.sjsu.edu/urbanplanning/docs/VTA-TODParkingSurveyReport-VolI.pdf</t>
  </si>
  <si>
    <t>Mixed-use Transit-Oriented Development (higher intensity)</t>
  </si>
  <si>
    <t xml:space="preserve">Per 1,000 covered spaces @ $100/mo </t>
  </si>
  <si>
    <t>FHWA (2018), Table 6b</t>
  </si>
  <si>
    <t>Web Link</t>
  </si>
  <si>
    <t>https://newsroom.aaa.com/wp-content/uploads/2021/08/2021-YDC-Brochure-Live.pdf</t>
  </si>
  <si>
    <t>https://www.eia.gov/outlooks/aeo/</t>
  </si>
  <si>
    <t>https://afdc.energy.gov/</t>
  </si>
  <si>
    <t>https://www.airquality.org/ClimateChange/Documents/Handbook%20Public%20Draft_2021-Aug.pdf</t>
  </si>
  <si>
    <t>https://ww2.arb.ca.gov/sites/default/files/classic/fuels/lcfs/peerreview/050515staffreport_ca-greet.pdf</t>
  </si>
  <si>
    <t>https://www.codot.gov/programs/innovativemobility/mobility-services/tdm/links.html</t>
  </si>
  <si>
    <t>https://www.georgetownclimate.org/files/report/GCC_Investment_Tool.pdf</t>
  </si>
  <si>
    <t>https://nhts.ornl.gov/assets/2017_nhts_summary_travel_trends.pdf</t>
  </si>
  <si>
    <t>https://www.itf-oecd.org/good-go-assessing-environmental-performance-new-mobility</t>
  </si>
  <si>
    <t>https://www.vtpi.org/tdm/</t>
  </si>
  <si>
    <t>https://pdxscholar.library.pdx.edu/trec_reports/161/</t>
  </si>
  <si>
    <t>https://mobilitylab.org/research-document/arlington-county-shared-mobility-devices-smd-pilot-evaluation-report/</t>
  </si>
  <si>
    <t>https://www.mwcog.org/documents/2020/11/17/commuter-connections-transportation-emission-reduction-measure-term-analysis-report--carsharing-commuter-connections-commuting/</t>
  </si>
  <si>
    <t xml:space="preserve">North American Bikeshare Association (NABSA). (2020). 1st Annual Micromobility State of the Industry Report. </t>
  </si>
  <si>
    <t>https://doi.org/10.7922/G2057D6B</t>
  </si>
  <si>
    <t>https://nacto.org/shared-micromobility-2018/</t>
  </si>
  <si>
    <t>https://www.transit.dot.gov/ntd</t>
  </si>
  <si>
    <t>Portland Bureau of Transportation (2020). E-Scooter Findings Report.</t>
  </si>
  <si>
    <t xml:space="preserve"> https://www.portlandoregon.gov/transportation/article/709719</t>
  </si>
  <si>
    <t>https://rmi.org/insight/dcfc-rate-design-study/</t>
  </si>
  <si>
    <t>https://www.trb.org/Publications/TCRPReport95.aspx</t>
  </si>
  <si>
    <t>https://mobility.tamu.edu/umr/</t>
  </si>
  <si>
    <t>https://cfpub.epa.gov/si/si_public_record_report.cfm?Lab=OTAQ&amp;dirEntryId=309336</t>
  </si>
  <si>
    <t>http://www.reconnectingamerica.org/assets/Uploads/DOTClimateChangeReport-April2010-Volume1and2.pdf</t>
  </si>
  <si>
    <t>https://app.leg.wa.gov/ReportsToTheLegislature/Home/GetPDF?fileName=2017CTR_Report_cc6e5f5a-b10f-44b7-8304-fd65ba28133f.pdf</t>
  </si>
  <si>
    <t>https://journals.sagepub.com/doi/abs/10.3141/2402-06</t>
  </si>
  <si>
    <t>https://www.saferoutespartnership.org/resources/journal-article/cycling-work-90-large-american-cities</t>
  </si>
  <si>
    <t>https://journals.sagepub.com/doi/10.3141/1706-01</t>
  </si>
  <si>
    <t>Colorado DOT (2021). Cost-Benefit Analysis for Rules Governing Statewide Transportation Planning. August 31, 2021.</t>
  </si>
  <si>
    <t>https://www.codot.gov/business/rules/documents/cdot-cost-benefit-analysis-for-ghg-rule-sept-2021.pdf</t>
  </si>
  <si>
    <t>http://www3.drcog.org/documents/archive/_CODOT_TDM_COMPLETE%20-%20FINAL%202%2011%2010.pdf</t>
  </si>
  <si>
    <t>Average trip length (mi) - unlinked</t>
  </si>
  <si>
    <t>FHWA CMAQ Calculator Toolkit</t>
  </si>
  <si>
    <t>Eliminate minimum and set low maximum levels (residential)</t>
  </si>
  <si>
    <t>Change in annual VMT per DU for a 1-space reduction</t>
  </si>
  <si>
    <t>Urban core</t>
  </si>
  <si>
    <t>Suburban</t>
  </si>
  <si>
    <t>Urban</t>
  </si>
  <si>
    <t>CS analysis using King County (WA) Right Size Parking Tool</t>
  </si>
  <si>
    <t>Reduce or eliminate minimum and set moderate maximum levels (residential)</t>
  </si>
  <si>
    <t>scaled to 0.5 space/unit reduction instead of 1 space/unit</t>
  </si>
  <si>
    <t>assuming that typical parking is 2+ space/unit for 2+ bedroom</t>
  </si>
  <si>
    <t>CS analysis using sample projects from the King County (WA) Right Size Parking Calculator (https://rightsizeparking.org/)</t>
  </si>
  <si>
    <t xml:space="preserve">Per 1,000 sq. ft. of commercial space </t>
  </si>
  <si>
    <t>Eliminate minimum parking requirements and set maximum levels (commercial)</t>
  </si>
  <si>
    <t xml:space="preserve">New/increased fixed-route bus service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</si>
</sst>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_);_(* \(#,##0\);_(* &quot;-&quot;?_);_(@_)"/>
    <numFmt numFmtId="168" formatCode="0.0%"/>
    <numFmt numFmtId="169" formatCode="_(&quot;$&quot;* #,##0_);_(&quot;$&quot;* \(#,##0\);_(&quot;$&quot;* &quot;-&quot;??_);_(@_)"/>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sz val="11"/>
      <color theme="4" tint="-0.249977111117893"/>
      <name val="Calibri"/>
      <family val="2"/>
      <scheme val="minor"/>
    </font>
    <font>
      <sz val="9"/>
      <color indexed="81"/>
      <name val="Tahoma"/>
      <family val="2"/>
    </font>
    <font>
      <b/>
      <sz val="9"/>
      <color indexed="81"/>
      <name val="Tahoma"/>
      <family val="2"/>
    </font>
    <font>
      <b/>
      <sz val="11"/>
      <color theme="0"/>
      <name val="Calibri"/>
      <family val="2"/>
      <scheme val="minor"/>
    </font>
    <font>
      <sz val="11"/>
      <color theme="0"/>
      <name val="Calibri"/>
      <family val="2"/>
      <scheme val="minor"/>
    </font>
    <font>
      <sz val="11"/>
      <name val="Calibri"/>
      <family val="2"/>
      <scheme val="minor"/>
    </font>
    <font>
      <b/>
      <sz val="11"/>
      <color rgb="FFFF0000"/>
      <name val="Calibri"/>
      <family val="2"/>
      <scheme val="minor"/>
    </font>
    <font>
      <sz val="11"/>
      <color theme="0" tint="-0.499984740745262"/>
      <name val="Calibri"/>
      <family val="2"/>
      <scheme val="minor"/>
    </font>
    <font>
      <b/>
      <sz val="11"/>
      <color theme="0" tint="-0.499984740745262"/>
      <name val="Calibri"/>
      <family val="2"/>
      <scheme val="minor"/>
    </font>
    <font>
      <b/>
      <sz val="11"/>
      <name val="Calibri"/>
      <family val="2"/>
      <scheme val="minor"/>
    </font>
    <font>
      <b/>
      <sz val="11"/>
      <color theme="1" tint="0.499984740745262"/>
      <name val="Calibri"/>
      <family val="2"/>
      <scheme val="minor"/>
    </font>
    <font>
      <sz val="11"/>
      <color theme="1" tint="0.499984740745262"/>
      <name val="Calibri"/>
      <family val="2"/>
      <scheme val="minor"/>
    </font>
    <font>
      <sz val="11"/>
      <color rgb="FFFF0000"/>
      <name val="Calibri"/>
      <family val="2"/>
      <scheme val="minor"/>
    </font>
    <font>
      <i/>
      <sz val="11"/>
      <color theme="1"/>
      <name val="Calibri"/>
      <family val="2"/>
      <scheme val="minor"/>
    </font>
    <font>
      <sz val="11"/>
      <color rgb="FFFF0000"/>
      <name val="Calibri"/>
      <family val="2"/>
    </font>
    <font>
      <sz val="9"/>
      <color rgb="FF202124"/>
      <name val="Roboto"/>
    </font>
    <font>
      <u/>
      <sz val="11"/>
      <color theme="1"/>
      <name val="Calibri"/>
      <family val="2"/>
      <scheme val="minor"/>
    </font>
    <font>
      <sz val="11"/>
      <color theme="5"/>
      <name val="Calibri"/>
      <family val="2"/>
      <scheme val="minor"/>
    </font>
    <font>
      <sz val="9"/>
      <color indexed="81"/>
      <name val="Tahoma"/>
      <charset val="1"/>
    </font>
    <font>
      <b/>
      <sz val="9"/>
      <color indexed="81"/>
      <name val="Tahoma"/>
      <charset val="1"/>
    </font>
  </fonts>
  <fills count="12">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5"/>
        <bgColor indexed="64"/>
      </patternFill>
    </fill>
    <fill>
      <patternFill patternType="solid">
        <fgColor rgb="FFFFFF99"/>
        <bgColor indexed="64"/>
      </patternFill>
    </fill>
    <fill>
      <patternFill patternType="solid">
        <fgColor theme="4" tint="0.79998168889431442"/>
        <bgColor indexed="64"/>
      </patternFill>
    </fill>
  </fills>
  <borders count="9">
    <border>
      <left/>
      <right/>
      <top/>
      <bottom/>
      <diagonal/>
    </border>
    <border>
      <left/>
      <right/>
      <top/>
      <bottom style="thick">
        <color auto="1"/>
      </bottom>
      <diagonal/>
    </border>
    <border>
      <left/>
      <right/>
      <top style="thick">
        <color auto="1"/>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style="hair">
        <color theme="0"/>
      </left>
      <right style="hair">
        <color theme="0"/>
      </right>
      <top style="hair">
        <color theme="0"/>
      </top>
      <bottom style="hair">
        <color theme="0"/>
      </bottom>
      <diagonal/>
    </border>
    <border>
      <left style="hair">
        <color theme="0"/>
      </left>
      <right style="hair">
        <color theme="0"/>
      </right>
      <top/>
      <bottom style="hair">
        <color theme="0"/>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cellStyleXfs>
  <cellXfs count="194">
    <xf numFmtId="0" fontId="0" fillId="0" borderId="0" xfId="0"/>
    <xf numFmtId="0" fontId="2" fillId="0" borderId="0" xfId="0" applyFont="1"/>
    <xf numFmtId="0" fontId="0" fillId="0" borderId="0" xfId="0" applyAlignment="1">
      <alignment wrapText="1"/>
    </xf>
    <xf numFmtId="0" fontId="0" fillId="0" borderId="0" xfId="0" applyAlignment="1">
      <alignment vertical="top"/>
    </xf>
    <xf numFmtId="164" fontId="0" fillId="0" borderId="0" xfId="0" applyNumberFormat="1" applyAlignment="1">
      <alignment vertical="top"/>
    </xf>
    <xf numFmtId="164" fontId="0" fillId="2" borderId="0" xfId="0" applyNumberFormat="1" applyFill="1" applyAlignment="1">
      <alignment vertical="top"/>
    </xf>
    <xf numFmtId="0" fontId="0" fillId="0" borderId="0" xfId="0" applyAlignment="1">
      <alignment vertical="top" wrapText="1"/>
    </xf>
    <xf numFmtId="166" fontId="0" fillId="0" borderId="0" xfId="1" applyNumberFormat="1" applyFont="1" applyAlignment="1">
      <alignment vertical="top"/>
    </xf>
    <xf numFmtId="9" fontId="0" fillId="0" borderId="0" xfId="0" applyNumberFormat="1" applyAlignment="1">
      <alignment vertical="top"/>
    </xf>
    <xf numFmtId="9" fontId="0" fillId="2" borderId="0" xfId="2" applyFont="1" applyFill="1" applyAlignment="1">
      <alignment vertical="top"/>
    </xf>
    <xf numFmtId="165" fontId="0" fillId="0" borderId="0" xfId="0" applyNumberFormat="1" applyAlignment="1">
      <alignment vertical="top"/>
    </xf>
    <xf numFmtId="165" fontId="0" fillId="0" borderId="0" xfId="1" applyNumberFormat="1" applyFont="1" applyAlignment="1">
      <alignment vertical="top"/>
    </xf>
    <xf numFmtId="166" fontId="0" fillId="3" borderId="0" xfId="0" applyNumberFormat="1" applyFill="1" applyAlignment="1">
      <alignment vertical="top"/>
    </xf>
    <xf numFmtId="0" fontId="2" fillId="0" borderId="1" xfId="0" applyFont="1" applyBorder="1"/>
    <xf numFmtId="0" fontId="2" fillId="4" borderId="2" xfId="0" applyFont="1" applyFill="1" applyBorder="1"/>
    <xf numFmtId="0" fontId="0" fillId="4" borderId="2" xfId="0" applyFill="1" applyBorder="1"/>
    <xf numFmtId="0" fontId="0" fillId="4" borderId="2" xfId="0" applyFill="1" applyBorder="1" applyAlignment="1">
      <alignment wrapText="1"/>
    </xf>
    <xf numFmtId="0" fontId="2" fillId="0" borderId="0" xfId="0" applyFont="1" applyAlignment="1">
      <alignment wrapText="1"/>
    </xf>
    <xf numFmtId="0" fontId="2" fillId="4" borderId="2" xfId="0" applyFont="1" applyFill="1" applyBorder="1" applyAlignment="1">
      <alignment wrapText="1"/>
    </xf>
    <xf numFmtId="0" fontId="0" fillId="3" borderId="0" xfId="0" applyFill="1" applyAlignment="1">
      <alignment horizontal="left" vertical="top" wrapText="1"/>
    </xf>
    <xf numFmtId="0" fontId="0" fillId="0" borderId="0" xfId="0" applyAlignment="1">
      <alignment horizontal="left" vertical="top" wrapText="1" indent="1"/>
    </xf>
    <xf numFmtId="164" fontId="5" fillId="0" borderId="0" xfId="0" applyNumberFormat="1" applyFont="1" applyAlignment="1">
      <alignment vertical="top"/>
    </xf>
    <xf numFmtId="0" fontId="5" fillId="0" borderId="0" xfId="0" applyFont="1"/>
    <xf numFmtId="0" fontId="0" fillId="3" borderId="0" xfId="0" applyFill="1"/>
    <xf numFmtId="0" fontId="0" fillId="0" borderId="0" xfId="0" applyAlignment="1">
      <alignment horizontal="left" vertical="top" wrapText="1"/>
    </xf>
    <xf numFmtId="1" fontId="0" fillId="0" borderId="0" xfId="0" applyNumberFormat="1"/>
    <xf numFmtId="1" fontId="0" fillId="2" borderId="0" xfId="0" applyNumberFormat="1" applyFill="1" applyAlignment="1">
      <alignment vertical="top"/>
    </xf>
    <xf numFmtId="0" fontId="8" fillId="6" borderId="2" xfId="0" applyFont="1" applyFill="1" applyBorder="1"/>
    <xf numFmtId="0" fontId="9" fillId="6" borderId="2" xfId="0" applyFont="1" applyFill="1" applyBorder="1"/>
    <xf numFmtId="0" fontId="9" fillId="6" borderId="2" xfId="0" applyFont="1" applyFill="1" applyBorder="1" applyAlignment="1">
      <alignment wrapText="1"/>
    </xf>
    <xf numFmtId="0" fontId="8" fillId="6" borderId="2" xfId="0" applyFont="1" applyFill="1" applyBorder="1" applyAlignment="1">
      <alignment wrapText="1"/>
    </xf>
    <xf numFmtId="166" fontId="10" fillId="0" borderId="0" xfId="1" applyNumberFormat="1" applyFont="1" applyAlignment="1">
      <alignment vertical="top"/>
    </xf>
    <xf numFmtId="166" fontId="10" fillId="0" borderId="0" xfId="0" applyNumberFormat="1" applyFont="1" applyAlignment="1">
      <alignment vertical="top"/>
    </xf>
    <xf numFmtId="0" fontId="0" fillId="0" borderId="0" xfId="0" quotePrefix="1" applyAlignment="1">
      <alignment vertical="top" wrapText="1"/>
    </xf>
    <xf numFmtId="0" fontId="2" fillId="0" borderId="0" xfId="0" applyFont="1" applyAlignment="1">
      <alignment vertical="top"/>
    </xf>
    <xf numFmtId="0" fontId="2" fillId="4" borderId="2" xfId="0" applyFont="1" applyFill="1" applyBorder="1" applyAlignment="1">
      <alignment vertical="top"/>
    </xf>
    <xf numFmtId="0" fontId="0" fillId="0" borderId="0" xfId="0" quotePrefix="1" applyAlignment="1">
      <alignment wrapText="1"/>
    </xf>
    <xf numFmtId="0" fontId="0" fillId="7" borderId="0" xfId="0" applyFill="1" applyAlignment="1">
      <alignment vertical="top"/>
    </xf>
    <xf numFmtId="0" fontId="0" fillId="7" borderId="0" xfId="0" applyFill="1" applyAlignment="1">
      <alignment vertical="top" wrapText="1"/>
    </xf>
    <xf numFmtId="0" fontId="2" fillId="7" borderId="0" xfId="0" applyFont="1" applyFill="1"/>
    <xf numFmtId="0" fontId="0" fillId="7" borderId="0" xfId="0" applyFill="1" applyAlignment="1">
      <alignment wrapText="1"/>
    </xf>
    <xf numFmtId="0" fontId="0" fillId="7" borderId="0" xfId="0" applyFill="1"/>
    <xf numFmtId="0" fontId="3" fillId="0" borderId="0" xfId="0" applyFont="1" applyAlignment="1">
      <alignment horizontal="left" vertical="center" wrapText="1"/>
    </xf>
    <xf numFmtId="0" fontId="2" fillId="4" borderId="2" xfId="0" applyFont="1" applyFill="1" applyBorder="1" applyAlignment="1">
      <alignment horizontal="center" vertical="top" wrapText="1"/>
    </xf>
    <xf numFmtId="0" fontId="3" fillId="0" borderId="3" xfId="0" applyFont="1" applyBorder="1" applyAlignment="1">
      <alignment horizontal="left" vertical="center" wrapText="1"/>
    </xf>
    <xf numFmtId="0" fontId="0" fillId="0" borderId="3" xfId="0" applyBorder="1"/>
    <xf numFmtId="0" fontId="0" fillId="0" borderId="3" xfId="0" applyBorder="1" applyAlignment="1">
      <alignment wrapText="1"/>
    </xf>
    <xf numFmtId="165" fontId="0" fillId="0" borderId="0" xfId="0" applyNumberFormat="1"/>
    <xf numFmtId="0" fontId="0" fillId="0" borderId="0" xfId="0" quotePrefix="1"/>
    <xf numFmtId="0" fontId="2" fillId="4" borderId="5" xfId="0" applyFont="1" applyFill="1" applyBorder="1" applyAlignment="1">
      <alignment wrapText="1"/>
    </xf>
    <xf numFmtId="0" fontId="2" fillId="4" borderId="5" xfId="0" applyFont="1" applyFill="1" applyBorder="1"/>
    <xf numFmtId="166" fontId="0" fillId="3" borderId="0" xfId="0" applyNumberFormat="1" applyFill="1"/>
    <xf numFmtId="166" fontId="0" fillId="3" borderId="3" xfId="0" applyNumberFormat="1" applyFill="1" applyBorder="1"/>
    <xf numFmtId="0" fontId="2" fillId="4" borderId="5" xfId="0" applyFont="1" applyFill="1" applyBorder="1" applyAlignment="1">
      <alignment horizontal="left" vertical="top"/>
    </xf>
    <xf numFmtId="0" fontId="0" fillId="0" borderId="0" xfId="0" applyAlignment="1">
      <alignment horizontal="left" vertical="top" indent="1"/>
    </xf>
    <xf numFmtId="166" fontId="0" fillId="2" borderId="0" xfId="1" applyNumberFormat="1" applyFont="1" applyFill="1" applyAlignment="1">
      <alignment vertical="top"/>
    </xf>
    <xf numFmtId="2" fontId="0" fillId="2" borderId="0" xfId="0" applyNumberFormat="1" applyFill="1" applyAlignment="1">
      <alignment vertical="top"/>
    </xf>
    <xf numFmtId="0" fontId="3" fillId="0" borderId="0" xfId="0" applyFont="1" applyAlignment="1">
      <alignment horizontal="left" vertical="top" wrapText="1"/>
    </xf>
    <xf numFmtId="9" fontId="0" fillId="0" borderId="0" xfId="2" applyFont="1" applyAlignment="1">
      <alignment vertical="top"/>
    </xf>
    <xf numFmtId="166" fontId="0" fillId="0" borderId="0" xfId="0" applyNumberFormat="1" applyAlignment="1">
      <alignment vertical="top"/>
    </xf>
    <xf numFmtId="166" fontId="0" fillId="0" borderId="0" xfId="1" applyNumberFormat="1" applyFont="1" applyFill="1" applyAlignment="1">
      <alignment vertical="top"/>
    </xf>
    <xf numFmtId="0" fontId="12" fillId="0" borderId="0" xfId="0" applyFont="1"/>
    <xf numFmtId="168" fontId="12" fillId="0" borderId="0" xfId="0" applyNumberFormat="1" applyFont="1"/>
    <xf numFmtId="168" fontId="12" fillId="0" borderId="0" xfId="2" applyNumberFormat="1" applyFont="1"/>
    <xf numFmtId="0" fontId="13" fillId="0" borderId="0" xfId="0" applyFont="1"/>
    <xf numFmtId="0" fontId="2" fillId="0" borderId="0" xfId="0" applyFont="1" applyAlignment="1">
      <alignment vertical="top" wrapText="1"/>
    </xf>
    <xf numFmtId="166" fontId="0" fillId="4" borderId="0" xfId="1" applyNumberFormat="1" applyFont="1" applyFill="1" applyAlignment="1">
      <alignment vertical="top"/>
    </xf>
    <xf numFmtId="0" fontId="0" fillId="0" borderId="0" xfId="0" applyAlignment="1">
      <alignment horizontal="left" wrapText="1" indent="1"/>
    </xf>
    <xf numFmtId="166" fontId="0" fillId="0" borderId="0" xfId="1" applyNumberFormat="1" applyFont="1"/>
    <xf numFmtId="9" fontId="0" fillId="0" borderId="0" xfId="2" applyFont="1" applyFill="1" applyAlignment="1">
      <alignment vertical="top"/>
    </xf>
    <xf numFmtId="0" fontId="14" fillId="4" borderId="2" xfId="0" applyFont="1" applyFill="1" applyBorder="1" applyAlignment="1">
      <alignment wrapText="1"/>
    </xf>
    <xf numFmtId="0" fontId="15" fillId="6" borderId="2" xfId="0" applyFont="1" applyFill="1" applyBorder="1"/>
    <xf numFmtId="0" fontId="16" fillId="0" borderId="0" xfId="0" applyFont="1" applyAlignment="1">
      <alignment wrapText="1"/>
    </xf>
    <xf numFmtId="0" fontId="15" fillId="0" borderId="0" xfId="0" applyFont="1" applyAlignment="1">
      <alignment wrapText="1"/>
    </xf>
    <xf numFmtId="0" fontId="15" fillId="4" borderId="2" xfId="0" applyFont="1" applyFill="1" applyBorder="1"/>
    <xf numFmtId="0" fontId="16" fillId="7" borderId="0" xfId="0" applyFont="1" applyFill="1" applyAlignment="1">
      <alignment vertical="top" wrapText="1"/>
    </xf>
    <xf numFmtId="0" fontId="16" fillId="0" borderId="0" xfId="0" applyFont="1" applyAlignment="1">
      <alignment horizontal="left" vertical="top" wrapText="1" indent="1"/>
    </xf>
    <xf numFmtId="166" fontId="16" fillId="0" borderId="0" xfId="1" applyNumberFormat="1" applyFont="1" applyAlignment="1">
      <alignment vertical="top"/>
    </xf>
    <xf numFmtId="166" fontId="16" fillId="0" borderId="0" xfId="0" applyNumberFormat="1" applyFont="1"/>
    <xf numFmtId="0" fontId="16" fillId="0" borderId="0" xfId="0" applyFont="1" applyAlignment="1">
      <alignment vertical="top" wrapText="1"/>
    </xf>
    <xf numFmtId="0" fontId="16" fillId="0" borderId="0" xfId="0" applyFont="1" applyAlignment="1">
      <alignment horizontal="left" vertical="top" wrapText="1"/>
    </xf>
    <xf numFmtId="0" fontId="16" fillId="3" borderId="0" xfId="0" applyFont="1" applyFill="1" applyAlignment="1">
      <alignment horizontal="left" vertical="top" wrapText="1"/>
    </xf>
    <xf numFmtId="164" fontId="0" fillId="0" borderId="0" xfId="0" applyNumberFormat="1"/>
    <xf numFmtId="0" fontId="0" fillId="0" borderId="3" xfId="0" applyBorder="1" applyAlignment="1">
      <alignment horizontal="left" vertical="top" wrapText="1"/>
    </xf>
    <xf numFmtId="166" fontId="0" fillId="3" borderId="6" xfId="0" applyNumberFormat="1" applyFill="1" applyBorder="1"/>
    <xf numFmtId="0" fontId="2" fillId="4" borderId="4" xfId="0" applyFont="1" applyFill="1" applyBorder="1" applyAlignment="1">
      <alignment wrapText="1"/>
    </xf>
    <xf numFmtId="0" fontId="2" fillId="4" borderId="4" xfId="0" applyFont="1" applyFill="1" applyBorder="1"/>
    <xf numFmtId="0" fontId="3" fillId="0" borderId="0" xfId="0" applyFont="1" applyAlignment="1">
      <alignment horizontal="left" vertical="top" wrapText="1" indent="1"/>
    </xf>
    <xf numFmtId="0" fontId="19" fillId="0" borderId="0" xfId="0" applyFont="1" applyAlignment="1">
      <alignment horizontal="left" vertical="top" wrapText="1"/>
    </xf>
    <xf numFmtId="0" fontId="17" fillId="3" borderId="0" xfId="0" applyFont="1" applyFill="1" applyAlignment="1">
      <alignment horizontal="left" vertical="top" wrapText="1"/>
    </xf>
    <xf numFmtId="0" fontId="2" fillId="7" borderId="0" xfId="0" applyFont="1" applyFill="1" applyAlignment="1">
      <alignment vertical="top"/>
    </xf>
    <xf numFmtId="1" fontId="0" fillId="0" borderId="0" xfId="0" applyNumberFormat="1" applyAlignment="1">
      <alignment vertical="top"/>
    </xf>
    <xf numFmtId="0" fontId="0" fillId="4" borderId="2" xfId="0" applyFill="1" applyBorder="1" applyAlignment="1">
      <alignment vertical="top"/>
    </xf>
    <xf numFmtId="167" fontId="0" fillId="3" borderId="0" xfId="0" applyNumberFormat="1" applyFill="1" applyAlignment="1">
      <alignment vertical="top"/>
    </xf>
    <xf numFmtId="0" fontId="2" fillId="0" borderId="0" xfId="0" applyFont="1" applyAlignment="1">
      <alignment horizontal="centerContinuous"/>
    </xf>
    <xf numFmtId="0" fontId="0" fillId="4" borderId="2" xfId="0" applyFill="1" applyBorder="1" applyAlignment="1">
      <alignment vertical="top" wrapText="1"/>
    </xf>
    <xf numFmtId="43" fontId="0" fillId="0" borderId="0" xfId="1" applyFont="1" applyAlignment="1">
      <alignment vertical="top"/>
    </xf>
    <xf numFmtId="0" fontId="2" fillId="4" borderId="2" xfId="0" applyFont="1" applyFill="1" applyBorder="1" applyAlignment="1">
      <alignment vertical="top" wrapText="1"/>
    </xf>
    <xf numFmtId="0" fontId="2" fillId="4" borderId="5" xfId="0" applyFont="1" applyFill="1" applyBorder="1" applyAlignment="1">
      <alignment vertical="top"/>
    </xf>
    <xf numFmtId="0" fontId="2" fillId="4" borderId="5" xfId="0" applyFont="1" applyFill="1" applyBorder="1" applyAlignment="1">
      <alignment vertical="top" wrapText="1"/>
    </xf>
    <xf numFmtId="0" fontId="11" fillId="4" borderId="5" xfId="0" applyFont="1" applyFill="1" applyBorder="1" applyAlignment="1">
      <alignment vertical="top" wrapText="1"/>
    </xf>
    <xf numFmtId="0" fontId="17" fillId="0" borderId="0" xfId="0" applyFont="1" applyAlignment="1">
      <alignment vertical="top" wrapText="1"/>
    </xf>
    <xf numFmtId="0" fontId="2" fillId="0" borderId="1" xfId="0" applyFont="1" applyBorder="1" applyAlignment="1">
      <alignment vertical="top" wrapText="1"/>
    </xf>
    <xf numFmtId="166" fontId="0" fillId="0" borderId="0" xfId="1" applyNumberFormat="1" applyFont="1" applyAlignment="1">
      <alignment vertical="top" wrapText="1"/>
    </xf>
    <xf numFmtId="164" fontId="0" fillId="0" borderId="0" xfId="0" applyNumberFormat="1" applyAlignment="1">
      <alignment vertical="top" wrapText="1"/>
    </xf>
    <xf numFmtId="164" fontId="0" fillId="2" borderId="0" xfId="0" applyNumberFormat="1" applyFill="1" applyAlignment="1">
      <alignment vertical="top" wrapText="1"/>
    </xf>
    <xf numFmtId="1" fontId="0" fillId="0" borderId="0" xfId="0" applyNumberFormat="1" applyAlignment="1">
      <alignment vertical="top" wrapText="1"/>
    </xf>
    <xf numFmtId="1" fontId="0" fillId="2" borderId="0" xfId="0" applyNumberFormat="1" applyFill="1" applyAlignment="1">
      <alignment vertical="top" wrapText="1"/>
    </xf>
    <xf numFmtId="166" fontId="1" fillId="0" borderId="0" xfId="1" applyNumberFormat="1" applyFont="1" applyBorder="1" applyAlignment="1">
      <alignment vertical="top" wrapText="1"/>
    </xf>
    <xf numFmtId="0" fontId="2" fillId="4" borderId="5" xfId="0" applyFont="1" applyFill="1" applyBorder="1" applyAlignment="1">
      <alignment horizontal="left" vertical="top" wrapText="1"/>
    </xf>
    <xf numFmtId="2" fontId="0" fillId="0" borderId="0" xfId="0" applyNumberFormat="1" applyAlignment="1">
      <alignment vertical="top" wrapText="1"/>
    </xf>
    <xf numFmtId="2" fontId="0" fillId="2" borderId="0" xfId="0" applyNumberFormat="1" applyFill="1" applyAlignment="1">
      <alignment vertical="top" wrapText="1"/>
    </xf>
    <xf numFmtId="44" fontId="0" fillId="0" borderId="0" xfId="4" applyFont="1" applyFill="1" applyAlignment="1">
      <alignment vertical="top" wrapText="1"/>
    </xf>
    <xf numFmtId="44" fontId="0" fillId="2" borderId="0" xfId="4" applyFont="1" applyFill="1" applyAlignment="1">
      <alignment vertical="top" wrapText="1"/>
    </xf>
    <xf numFmtId="165" fontId="0" fillId="0" borderId="0" xfId="0" applyNumberFormat="1" applyAlignment="1">
      <alignment vertical="top" wrapText="1"/>
    </xf>
    <xf numFmtId="44" fontId="0" fillId="0" borderId="0" xfId="4" applyFont="1" applyAlignment="1">
      <alignment vertical="top" wrapText="1"/>
    </xf>
    <xf numFmtId="9" fontId="0" fillId="0" borderId="0" xfId="4" applyNumberFormat="1" applyFont="1" applyFill="1" applyAlignment="1">
      <alignment vertical="top" wrapText="1"/>
    </xf>
    <xf numFmtId="9" fontId="0" fillId="0" borderId="0" xfId="2" applyFont="1" applyAlignment="1">
      <alignment vertical="top" wrapText="1"/>
    </xf>
    <xf numFmtId="164" fontId="0" fillId="0" borderId="0" xfId="2" applyNumberFormat="1" applyFont="1" applyAlignment="1">
      <alignment vertical="top" wrapText="1"/>
    </xf>
    <xf numFmtId="166" fontId="0" fillId="0" borderId="0" xfId="0" applyNumberFormat="1" applyAlignment="1">
      <alignment vertical="top" wrapText="1"/>
    </xf>
    <xf numFmtId="166" fontId="0" fillId="2" borderId="0" xfId="0" applyNumberFormat="1" applyFill="1" applyAlignment="1">
      <alignment vertical="top" wrapText="1"/>
    </xf>
    <xf numFmtId="166" fontId="0" fillId="3" borderId="0" xfId="0" applyNumberFormat="1" applyFill="1" applyAlignment="1">
      <alignment vertical="top" wrapText="1"/>
    </xf>
    <xf numFmtId="169" fontId="0" fillId="0" borderId="0" xfId="4" applyNumberFormat="1" applyFont="1" applyAlignment="1">
      <alignment vertical="top" wrapText="1"/>
    </xf>
    <xf numFmtId="169" fontId="0" fillId="0" borderId="0" xfId="4" applyNumberFormat="1" applyFont="1" applyFill="1" applyAlignment="1">
      <alignment vertical="top" wrapText="1"/>
    </xf>
    <xf numFmtId="43" fontId="0" fillId="0" borderId="0" xfId="1" applyFont="1" applyAlignment="1">
      <alignment vertical="top" wrapText="1"/>
    </xf>
    <xf numFmtId="168" fontId="0" fillId="0" borderId="0" xfId="4" applyNumberFormat="1" applyFont="1" applyFill="1" applyAlignment="1">
      <alignment vertical="top" wrapText="1"/>
    </xf>
    <xf numFmtId="0" fontId="18" fillId="0" borderId="0" xfId="0" quotePrefix="1" applyFont="1" applyAlignment="1">
      <alignment vertical="top" wrapText="1"/>
    </xf>
    <xf numFmtId="9" fontId="0" fillId="0" borderId="0" xfId="0" applyNumberFormat="1" applyAlignment="1">
      <alignment vertical="top" wrapText="1"/>
    </xf>
    <xf numFmtId="0" fontId="11" fillId="4" borderId="5" xfId="0" applyFont="1" applyFill="1" applyBorder="1" applyAlignment="1">
      <alignment horizontal="left" vertical="top" wrapText="1"/>
    </xf>
    <xf numFmtId="9" fontId="17" fillId="0" borderId="0" xfId="0" applyNumberFormat="1" applyFont="1" applyAlignment="1">
      <alignment vertical="top" wrapText="1"/>
    </xf>
    <xf numFmtId="166" fontId="17" fillId="0" borderId="0" xfId="0" applyNumberFormat="1" applyFont="1" applyAlignment="1">
      <alignment vertical="top" wrapText="1"/>
    </xf>
    <xf numFmtId="0" fontId="17" fillId="0" borderId="0" xfId="0" quotePrefix="1" applyFont="1" applyAlignment="1">
      <alignment vertical="top" wrapText="1"/>
    </xf>
    <xf numFmtId="166" fontId="17" fillId="2" borderId="0" xfId="0" applyNumberFormat="1" applyFont="1" applyFill="1" applyAlignment="1">
      <alignment vertical="top" wrapText="1"/>
    </xf>
    <xf numFmtId="165" fontId="17" fillId="0" borderId="0" xfId="0" applyNumberFormat="1" applyFont="1" applyAlignment="1">
      <alignment vertical="top" wrapText="1"/>
    </xf>
    <xf numFmtId="166" fontId="17" fillId="3" borderId="0" xfId="0" applyNumberFormat="1" applyFont="1" applyFill="1" applyAlignment="1">
      <alignment vertical="top" wrapText="1"/>
    </xf>
    <xf numFmtId="0" fontId="3" fillId="0" borderId="0" xfId="0" applyFont="1" applyAlignment="1">
      <alignment horizontal="left" vertical="top"/>
    </xf>
    <xf numFmtId="166" fontId="0" fillId="5" borderId="0" xfId="1" applyNumberFormat="1" applyFont="1" applyFill="1" applyAlignment="1">
      <alignment vertical="top"/>
    </xf>
    <xf numFmtId="9" fontId="0" fillId="0" borderId="0" xfId="0" applyNumberFormat="1"/>
    <xf numFmtId="0" fontId="20" fillId="0" borderId="0" xfId="0" applyFont="1"/>
    <xf numFmtId="164" fontId="0" fillId="0" borderId="0" xfId="0" applyNumberFormat="1" applyAlignment="1">
      <alignment wrapText="1"/>
    </xf>
    <xf numFmtId="0" fontId="0" fillId="0" borderId="0" xfId="0" applyFont="1"/>
    <xf numFmtId="166" fontId="1" fillId="0" borderId="0" xfId="1" applyNumberFormat="1" applyFont="1" applyFill="1"/>
    <xf numFmtId="0" fontId="0" fillId="0" borderId="0" xfId="0" applyFont="1" applyAlignment="1">
      <alignment horizontal="left"/>
    </xf>
    <xf numFmtId="166" fontId="0" fillId="0" borderId="0" xfId="0" applyNumberFormat="1"/>
    <xf numFmtId="2" fontId="0" fillId="0" borderId="0" xfId="0" applyNumberFormat="1"/>
    <xf numFmtId="0" fontId="0" fillId="8" borderId="0" xfId="0" applyFill="1" applyAlignment="1">
      <alignment vertical="top"/>
    </xf>
    <xf numFmtId="2" fontId="0" fillId="0" borderId="0" xfId="0" applyNumberFormat="1" applyAlignment="1">
      <alignment horizontal="right"/>
    </xf>
    <xf numFmtId="0" fontId="21" fillId="0" borderId="0" xfId="0" applyFont="1" applyAlignment="1">
      <alignment horizontal="center" wrapText="1"/>
    </xf>
    <xf numFmtId="0" fontId="3" fillId="0" borderId="0" xfId="0" applyFont="1" applyBorder="1" applyAlignment="1">
      <alignment horizontal="left" vertical="center" wrapText="1"/>
    </xf>
    <xf numFmtId="0" fontId="0" fillId="8" borderId="0" xfId="0" applyFill="1" applyAlignment="1">
      <alignment horizontal="left" vertical="top" wrapText="1" indent="1"/>
    </xf>
    <xf numFmtId="9" fontId="0" fillId="8" borderId="0" xfId="0" applyNumberFormat="1" applyFill="1" applyAlignment="1">
      <alignment vertical="top"/>
    </xf>
    <xf numFmtId="166" fontId="0" fillId="3" borderId="0" xfId="0" applyNumberFormat="1" applyFill="1" applyBorder="1"/>
    <xf numFmtId="9" fontId="0" fillId="0" borderId="0" xfId="2" applyNumberFormat="1" applyFont="1" applyAlignment="1">
      <alignment vertical="top"/>
    </xf>
    <xf numFmtId="164" fontId="0" fillId="0" borderId="0" xfId="4" applyNumberFormat="1" applyFont="1" applyAlignment="1">
      <alignment vertical="top" wrapText="1"/>
    </xf>
    <xf numFmtId="166" fontId="0" fillId="0" borderId="0" xfId="0" applyNumberFormat="1" applyAlignment="1">
      <alignment horizontal="left" vertical="top" wrapText="1"/>
    </xf>
    <xf numFmtId="43" fontId="0" fillId="0" borderId="0" xfId="0" applyNumberFormat="1" applyFill="1" applyAlignment="1">
      <alignment vertical="top" wrapText="1"/>
    </xf>
    <xf numFmtId="0" fontId="0" fillId="0" borderId="0" xfId="0" applyFill="1" applyAlignment="1">
      <alignment vertical="top" wrapText="1"/>
    </xf>
    <xf numFmtId="0" fontId="0" fillId="0" borderId="0" xfId="0" applyFill="1" applyAlignment="1">
      <alignment vertical="top"/>
    </xf>
    <xf numFmtId="166" fontId="0" fillId="0" borderId="0" xfId="0" applyNumberFormat="1" applyFill="1" applyAlignment="1">
      <alignment vertical="top"/>
    </xf>
    <xf numFmtId="0" fontId="0" fillId="0" borderId="0" xfId="0" applyFill="1" applyAlignment="1">
      <alignment horizontal="left" vertical="top" indent="1"/>
    </xf>
    <xf numFmtId="165" fontId="0" fillId="0" borderId="0" xfId="0" applyNumberFormat="1" applyFill="1" applyAlignment="1">
      <alignment vertical="top"/>
    </xf>
    <xf numFmtId="43" fontId="0" fillId="0" borderId="0" xfId="0" applyNumberFormat="1" applyFill="1" applyAlignment="1">
      <alignment vertical="top"/>
    </xf>
    <xf numFmtId="0" fontId="0" fillId="0" borderId="0" xfId="0" quotePrefix="1" applyFill="1" applyAlignment="1">
      <alignment vertical="top" wrapText="1"/>
    </xf>
    <xf numFmtId="0" fontId="0" fillId="9" borderId="0" xfId="0" applyFill="1" applyAlignment="1">
      <alignment vertical="top" wrapText="1"/>
    </xf>
    <xf numFmtId="0" fontId="3" fillId="0" borderId="0" xfId="0" applyFont="1" applyFill="1" applyAlignment="1">
      <alignment horizontal="left" vertical="center" wrapText="1"/>
    </xf>
    <xf numFmtId="165" fontId="0" fillId="0" borderId="0" xfId="0" applyNumberFormat="1" applyFill="1"/>
    <xf numFmtId="0" fontId="3" fillId="0" borderId="3" xfId="0" applyFont="1" applyFill="1" applyBorder="1" applyAlignment="1">
      <alignment horizontal="left" vertical="center" wrapText="1"/>
    </xf>
    <xf numFmtId="165" fontId="0" fillId="0" borderId="3" xfId="0" applyNumberFormat="1" applyFill="1" applyBorder="1"/>
    <xf numFmtId="165" fontId="0" fillId="0" borderId="0" xfId="0" applyNumberFormat="1" applyFill="1" applyBorder="1"/>
    <xf numFmtId="0" fontId="0" fillId="0" borderId="0" xfId="0" applyFill="1"/>
    <xf numFmtId="166" fontId="0" fillId="0" borderId="0" xfId="1" applyNumberFormat="1" applyFont="1" applyFill="1"/>
    <xf numFmtId="0" fontId="0" fillId="0" borderId="3" xfId="0" applyFill="1" applyBorder="1"/>
    <xf numFmtId="166" fontId="0" fillId="0" borderId="3" xfId="1" applyNumberFormat="1" applyFont="1" applyFill="1" applyBorder="1"/>
    <xf numFmtId="1" fontId="0" fillId="0" borderId="0" xfId="0" applyNumberFormat="1" applyFill="1"/>
    <xf numFmtId="1" fontId="0" fillId="0" borderId="3" xfId="0" applyNumberFormat="1" applyFill="1" applyBorder="1"/>
    <xf numFmtId="0" fontId="3" fillId="0" borderId="0" xfId="0" applyFont="1" applyFill="1" applyAlignment="1">
      <alignment horizontal="left" vertical="top" wrapText="1" indent="1"/>
    </xf>
    <xf numFmtId="0" fontId="0" fillId="0" borderId="0" xfId="0" applyFill="1" applyAlignment="1">
      <alignment horizontal="left" vertical="top" wrapText="1" indent="1"/>
    </xf>
    <xf numFmtId="165" fontId="0" fillId="0" borderId="0" xfId="1" applyNumberFormat="1" applyFont="1" applyFill="1" applyAlignment="1">
      <alignment vertical="top"/>
    </xf>
    <xf numFmtId="0" fontId="0" fillId="4" borderId="0" xfId="0" applyFill="1" applyAlignment="1">
      <alignment vertical="top"/>
    </xf>
    <xf numFmtId="9" fontId="0" fillId="10" borderId="7" xfId="0" applyNumberFormat="1" applyFill="1" applyBorder="1" applyAlignment="1">
      <alignment vertical="top"/>
    </xf>
    <xf numFmtId="166" fontId="0" fillId="10" borderId="8" xfId="1" applyNumberFormat="1" applyFont="1" applyFill="1" applyBorder="1" applyAlignment="1">
      <alignment vertical="top"/>
    </xf>
    <xf numFmtId="166" fontId="0" fillId="10" borderId="7" xfId="1" applyNumberFormat="1" applyFont="1" applyFill="1" applyBorder="1" applyAlignment="1">
      <alignment vertical="top"/>
    </xf>
    <xf numFmtId="166" fontId="0" fillId="0" borderId="0" xfId="1" applyNumberFormat="1" applyFont="1" applyAlignment="1">
      <alignment horizontal="left" vertical="top" indent="1"/>
    </xf>
    <xf numFmtId="0" fontId="0" fillId="10" borderId="7" xfId="0" applyFill="1" applyBorder="1" applyAlignment="1">
      <alignment horizontal="center" vertical="top"/>
    </xf>
    <xf numFmtId="0" fontId="0" fillId="0" borderId="0" xfId="0" quotePrefix="1" applyAlignment="1">
      <alignment vertical="top"/>
    </xf>
    <xf numFmtId="0" fontId="4" fillId="0" borderId="0" xfId="3"/>
    <xf numFmtId="0" fontId="4" fillId="0" borderId="0" xfId="3" applyAlignment="1">
      <alignment vertical="top" wrapText="1"/>
    </xf>
    <xf numFmtId="164" fontId="0" fillId="10" borderId="7" xfId="0" applyNumberFormat="1" applyFill="1" applyBorder="1" applyAlignment="1">
      <alignment vertical="top"/>
    </xf>
    <xf numFmtId="0" fontId="0" fillId="11" borderId="0" xfId="0" applyFill="1" applyAlignment="1">
      <alignment horizontal="left" vertical="top" wrapText="1"/>
    </xf>
    <xf numFmtId="0" fontId="18" fillId="11" borderId="0" xfId="0" quotePrefix="1" applyFont="1" applyFill="1" applyAlignment="1">
      <alignment vertical="top" wrapText="1"/>
    </xf>
    <xf numFmtId="0" fontId="3" fillId="11" borderId="0" xfId="0" applyFont="1" applyFill="1" applyAlignment="1">
      <alignment horizontal="left" vertical="top" wrapText="1" indent="1"/>
    </xf>
    <xf numFmtId="166" fontId="0" fillId="11" borderId="0" xfId="0" applyNumberFormat="1" applyFill="1" applyAlignment="1">
      <alignment vertical="top" wrapText="1"/>
    </xf>
    <xf numFmtId="164" fontId="0" fillId="0" borderId="0" xfId="0" applyNumberFormat="1" applyFill="1"/>
    <xf numFmtId="0" fontId="22" fillId="0" borderId="0" xfId="0" applyFont="1" applyFill="1"/>
  </cellXfs>
  <cellStyles count="5">
    <cellStyle name="Comma" xfId="1" builtinId="3"/>
    <cellStyle name="Currency" xfId="4" builtinId="4"/>
    <cellStyle name="Hyperlink" xfId="3" builtinId="8"/>
    <cellStyle name="Normal" xfId="0" builtinId="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msys.sharepoint.com/sites/ProjCODOTGHGRuleRIA200097/Shared%20Documents/General/02_VMT%20Measures-Economic/Cost%20Workbook%20for%20VMT%20Measures%20(2021-08%20CBA%20Draft%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msys.sharepoint.com/sites/ProjCODOTGHGRuleRIA200097/Shared%20Documents/General/06_Rule%20Support/TCI%20Strategy%20Evaluation_StateTool_v4.14(C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msys.sharepoint.com/sites/ProjCODOTGHGRuleRIA200097/Shared%20Documents/General/03_EV%20Conversion/Cost_Calculator_B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adme"/>
      <sheetName val="EF"/>
      <sheetName val="Factors"/>
      <sheetName val="CostStream"/>
      <sheetName val="Pivot2"/>
      <sheetName val="Cost-Effect"/>
      <sheetName val="EERPAT"/>
      <sheetName val="HwyExp"/>
      <sheetName val="Pivot_OLD"/>
      <sheetName val="Cost-Effect_OLD"/>
      <sheetName val="CE_Archive_EVhigh"/>
      <sheetName val="CE_Archive_EVlow"/>
    </sheetNames>
    <sheetDataSet>
      <sheetData sheetId="0" refreshError="1"/>
      <sheetData sheetId="1" refreshError="1"/>
      <sheetData sheetId="2">
        <row r="2">
          <cell r="T2">
            <v>326.41354333982724</v>
          </cell>
        </row>
        <row r="3">
          <cell r="T3">
            <v>313.47753808426404</v>
          </cell>
          <cell r="U3">
            <v>303.08533863702252</v>
          </cell>
          <cell r="Y3">
            <v>255.56920796390125</v>
          </cell>
          <cell r="AI3">
            <v>118.73988730201238</v>
          </cell>
          <cell r="AS3">
            <v>45.559193755621628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Inputs_1"/>
      <sheetName val="Inputs_2"/>
      <sheetName val="Inputs_3"/>
      <sheetName val="Inputs_4"/>
      <sheetName val="Outputs_1"/>
      <sheetName val="Outputs_2a"/>
      <sheetName val="Outputs_2b"/>
      <sheetName val="Outputs_3a"/>
      <sheetName val="Outputs_3b"/>
      <sheetName val="Outputs_4"/>
      <sheetName val="Charts"/>
      <sheetName val="NEMS-in"/>
      <sheetName val="NEMS-out"/>
      <sheetName val="VMT-state"/>
      <sheetName val="Baseline"/>
      <sheetName val="Funding"/>
      <sheetName val="Econ"/>
      <sheetName val="States"/>
      <sheetName val="EmFacs"/>
      <sheetName val="Pricing"/>
      <sheetName val="EV_1"/>
      <sheetName val="EV_2"/>
      <sheetName val="SR"/>
      <sheetName val="Micro"/>
      <sheetName val="LU"/>
      <sheetName val="Bike"/>
      <sheetName val="Ped"/>
      <sheetName val="TDM"/>
      <sheetName val="System"/>
      <sheetName val="FRT"/>
      <sheetName val="HwySGR"/>
      <sheetName val="Tr_Inv"/>
      <sheetName val="Tr_SGR"/>
      <sheetName val="Tr_Ops"/>
      <sheetName val="HwyExp"/>
      <sheetName val="Econ_Factors"/>
      <sheetName val="ImpactFactors"/>
      <sheetName val="Co_Totals"/>
      <sheetName val="TM-LD-EV"/>
      <sheetName val="TM-MD-EV"/>
      <sheetName val="TM-HD-EV"/>
      <sheetName val="TM-HD-H2FC"/>
      <sheetName val="TM-TrBus"/>
      <sheetName val="TM-SchBus"/>
      <sheetName val="Count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04">
          <cell r="M104">
            <v>1.1159900448615316</v>
          </cell>
          <cell r="T104">
            <v>1.0105969810494981</v>
          </cell>
          <cell r="X104">
            <v>0.9361799172612465</v>
          </cell>
          <cell r="AH104">
            <v>0.80941619878931592</v>
          </cell>
        </row>
        <row r="105">
          <cell r="S105">
            <v>1.3067405703134523</v>
          </cell>
          <cell r="T105">
            <v>1.2859459119712147</v>
          </cell>
          <cell r="X105">
            <v>1.1988356512547829</v>
          </cell>
          <cell r="AH105">
            <v>1.0742545022435372</v>
          </cell>
        </row>
        <row r="106">
          <cell r="M106">
            <v>2.8046345621746007</v>
          </cell>
        </row>
        <row r="107">
          <cell r="T107">
            <v>1.2429114329734579</v>
          </cell>
          <cell r="X107">
            <v>1.1500373277059566</v>
          </cell>
          <cell r="AH107">
            <v>1.0071480945377094</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4">
          <cell r="Z14">
            <v>3.456971476739045E-3</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ndustry"/>
      <sheetName val="Emissions"/>
      <sheetName val="Vehicle Turnover"/>
      <sheetName val="Vehicle Costs"/>
      <sheetName val="Fuel Costs"/>
      <sheetName val="Sheet1"/>
      <sheetName val="O&amp;M_Infra"/>
      <sheetName val="Veh_Stock"/>
      <sheetName val="Sales_Stock"/>
      <sheetName val="AEO_Sales"/>
      <sheetName val="AEO_Stock"/>
    </sheetNames>
    <sheetDataSet>
      <sheetData sheetId="0" refreshError="1"/>
      <sheetData sheetId="1" refreshError="1"/>
      <sheetData sheetId="2">
        <row r="12">
          <cell r="H12">
            <v>2945.2690166975881</v>
          </cell>
          <cell r="M12">
            <v>2697.5361087510614</v>
          </cell>
          <cell r="W12">
            <v>2405.3030303030305</v>
          </cell>
          <cell r="AG12">
            <v>2346.6371027346636</v>
          </cell>
        </row>
        <row r="13">
          <cell r="H13">
            <v>1555.2859497716231</v>
          </cell>
          <cell r="M13">
            <v>399.16686952162866</v>
          </cell>
          <cell r="W13">
            <v>0</v>
          </cell>
          <cell r="AG1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georgetownclimate.org/files/report/GCC_Investment_Tool.pdf" TargetMode="External"/><Relationship Id="rId13" Type="http://schemas.openxmlformats.org/officeDocument/2006/relationships/hyperlink" Target="https://pdxscholar.library.pdx.edu/trec_reports/161/" TargetMode="External"/><Relationship Id="rId18" Type="http://schemas.openxmlformats.org/officeDocument/2006/relationships/hyperlink" Target="https://www.codot.gov/business/rules/documents/cdot-cost-benefit-analysis-for-ghg-rule-sept-2021.pdf" TargetMode="External"/><Relationship Id="rId3" Type="http://schemas.openxmlformats.org/officeDocument/2006/relationships/hyperlink" Target="https://www.eia.gov/outlooks/aeo/" TargetMode="External"/><Relationship Id="rId21" Type="http://schemas.openxmlformats.org/officeDocument/2006/relationships/vmlDrawing" Target="../drawings/vmlDrawing7.vml"/><Relationship Id="rId7" Type="http://schemas.openxmlformats.org/officeDocument/2006/relationships/hyperlink" Target="https://www.codot.gov/programs/innovativemobility/mobility-services/tdm/links.html" TargetMode="External"/><Relationship Id="rId12" Type="http://schemas.openxmlformats.org/officeDocument/2006/relationships/hyperlink" Target="https://www.vtpi.org/tdm/" TargetMode="External"/><Relationship Id="rId17" Type="http://schemas.openxmlformats.org/officeDocument/2006/relationships/hyperlink" Target="https://www.saferoutespartnership.org/resources/journal-article/cycling-work-90-large-american-cities" TargetMode="External"/><Relationship Id="rId2" Type="http://schemas.openxmlformats.org/officeDocument/2006/relationships/hyperlink" Target="http://www.sjsu.edu/urbanplanning/docs/VTA-TODParkingSurveyReport-VolI.pdf" TargetMode="External"/><Relationship Id="rId16" Type="http://schemas.openxmlformats.org/officeDocument/2006/relationships/hyperlink" Target="http://www.reconnectingamerica.org/assets/Uploads/DOTClimateChangeReport-April2010-Volume1and2.pdf" TargetMode="External"/><Relationship Id="rId20" Type="http://schemas.openxmlformats.org/officeDocument/2006/relationships/printerSettings" Target="../printerSettings/printerSettings8.bin"/><Relationship Id="rId1" Type="http://schemas.openxmlformats.org/officeDocument/2006/relationships/hyperlink" Target="https://americas.uli.org/wp-content/uploads/sites/2/ULI-Documents/ULI-Parking-Policy-Research-Potential-Benefits-of-Reforms.pdf" TargetMode="External"/><Relationship Id="rId6" Type="http://schemas.openxmlformats.org/officeDocument/2006/relationships/hyperlink" Target="https://ww2.arb.ca.gov/sites/default/files/classic/fuels/lcfs/peerreview/050515staffreport_ca-greet.pdf" TargetMode="External"/><Relationship Id="rId11" Type="http://schemas.openxmlformats.org/officeDocument/2006/relationships/hyperlink" Target="https://www.vtpi.org/tdm/" TargetMode="External"/><Relationship Id="rId5" Type="http://schemas.openxmlformats.org/officeDocument/2006/relationships/hyperlink" Target="https://www.airquality.org/ClimateChange/Documents/Handbook%20Public%20Draft_2021-Aug.pdf" TargetMode="External"/><Relationship Id="rId15" Type="http://schemas.openxmlformats.org/officeDocument/2006/relationships/hyperlink" Target="https://www.mwcog.org/documents/2020/11/17/commuter-connections-transportation-emission-reduction-measure-term-analysis-report--carsharing-commuter-connections-commuting/" TargetMode="External"/><Relationship Id="rId10" Type="http://schemas.openxmlformats.org/officeDocument/2006/relationships/hyperlink" Target="https://www.itf-oecd.org/good-go-assessing-environmental-performance-new-mobility" TargetMode="External"/><Relationship Id="rId19" Type="http://schemas.openxmlformats.org/officeDocument/2006/relationships/hyperlink" Target="http://www3.drcog.org/documents/archive/_CODOT_TDM_COMPLETE%20-%20FINAL%202%2011%2010.pdf" TargetMode="External"/><Relationship Id="rId4" Type="http://schemas.openxmlformats.org/officeDocument/2006/relationships/hyperlink" Target="https://afdc.energy.gov/" TargetMode="External"/><Relationship Id="rId9" Type="http://schemas.openxmlformats.org/officeDocument/2006/relationships/hyperlink" Target="https://nhts.ornl.gov/assets/2017_nhts_summary_travel_trends.pdf" TargetMode="External"/><Relationship Id="rId14" Type="http://schemas.openxmlformats.org/officeDocument/2006/relationships/hyperlink" Target="https://mobilitylab.org/research-document/arlington-county-shared-mobility-devices-smd-pilot-evaluation-report/" TargetMode="External"/><Relationship Id="rId22"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79B16-02A6-4712-AAB7-75D5CB05C7AA}">
  <dimension ref="A1:I79"/>
  <sheetViews>
    <sheetView zoomScale="110" zoomScaleNormal="110" workbookViewId="0">
      <pane ySplit="3" topLeftCell="A61" activePane="bottomLeft" state="frozen"/>
      <selection pane="bottomLeft" activeCell="K25" sqref="K25"/>
    </sheetView>
  </sheetViews>
  <sheetFormatPr defaultRowHeight="15" x14ac:dyDescent="0.25"/>
  <cols>
    <col min="1" max="1" width="2.5703125" style="169" customWidth="1"/>
    <col min="2" max="2" width="4.42578125" style="3" customWidth="1"/>
    <col min="3" max="3" width="36.140625" style="2" customWidth="1"/>
    <col min="4" max="7" width="9.7109375" customWidth="1"/>
    <col min="8" max="8" width="28.85546875" style="2" customWidth="1"/>
    <col min="9" max="9" width="43.5703125" style="2" customWidth="1"/>
  </cols>
  <sheetData>
    <row r="1" spans="2:9" ht="15.75" thickTop="1" x14ac:dyDescent="0.25">
      <c r="B1" s="27" t="s">
        <v>0</v>
      </c>
      <c r="C1" s="27"/>
      <c r="D1" s="27"/>
      <c r="E1" s="27"/>
      <c r="F1" s="28"/>
      <c r="G1" s="28"/>
      <c r="H1" s="29"/>
      <c r="I1" s="30"/>
    </row>
    <row r="2" spans="2:9" x14ac:dyDescent="0.25">
      <c r="D2" s="1" t="s">
        <v>1</v>
      </c>
      <c r="E2" s="1"/>
      <c r="F2" s="1"/>
      <c r="G2" s="1"/>
    </row>
    <row r="3" spans="2:9" ht="15.75" thickBot="1" x14ac:dyDescent="0.3">
      <c r="B3" s="34" t="s">
        <v>2</v>
      </c>
      <c r="C3" s="17" t="s">
        <v>3</v>
      </c>
      <c r="D3" s="13">
        <v>2025</v>
      </c>
      <c r="E3" s="13">
        <v>2030</v>
      </c>
      <c r="F3" s="13">
        <v>2040</v>
      </c>
      <c r="G3" s="13">
        <v>2050</v>
      </c>
      <c r="H3" s="17" t="s">
        <v>4</v>
      </c>
      <c r="I3" s="17" t="s">
        <v>5</v>
      </c>
    </row>
    <row r="4" spans="2:9" ht="15.75" thickTop="1" x14ac:dyDescent="0.25">
      <c r="B4" s="35"/>
      <c r="C4" s="14" t="s">
        <v>6</v>
      </c>
      <c r="D4" s="14"/>
      <c r="E4" s="14"/>
      <c r="F4" s="15"/>
      <c r="G4" s="15"/>
      <c r="H4" s="16"/>
      <c r="I4" s="18"/>
    </row>
    <row r="5" spans="2:9" x14ac:dyDescent="0.25">
      <c r="B5" s="3" t="s">
        <v>7</v>
      </c>
      <c r="C5" s="6" t="s">
        <v>8</v>
      </c>
      <c r="D5" s="7">
        <f>[1]EF!$U$3</f>
        <v>303.08533863702252</v>
      </c>
      <c r="E5" s="7">
        <f>[1]EF!$Y$3</f>
        <v>255.56920796390125</v>
      </c>
      <c r="F5" s="7">
        <f>[1]EF!$AI$3</f>
        <v>118.73988730201238</v>
      </c>
      <c r="G5" s="7">
        <f>[1]EF!$AS$3</f>
        <v>45.559193755621628</v>
      </c>
      <c r="H5" s="3" t="s">
        <v>9</v>
      </c>
      <c r="I5" s="6"/>
    </row>
    <row r="6" spans="2:9" x14ac:dyDescent="0.25">
      <c r="C6" s="37" t="s">
        <v>10</v>
      </c>
      <c r="D6" s="41"/>
      <c r="E6" s="41"/>
      <c r="F6" s="41"/>
      <c r="G6" s="41"/>
      <c r="H6" s="40"/>
      <c r="I6" s="40"/>
    </row>
    <row r="7" spans="2:9" x14ac:dyDescent="0.25">
      <c r="B7" s="3" t="s">
        <v>11</v>
      </c>
      <c r="C7" s="20" t="s">
        <v>12</v>
      </c>
      <c r="D7" s="8">
        <v>0.6</v>
      </c>
      <c r="E7" s="9"/>
      <c r="F7" s="9"/>
      <c r="G7" s="9"/>
      <c r="H7" s="3" t="s">
        <v>13</v>
      </c>
    </row>
    <row r="8" spans="2:9" x14ac:dyDescent="0.25">
      <c r="B8" s="3" t="s">
        <v>14</v>
      </c>
      <c r="C8" s="20" t="s">
        <v>15</v>
      </c>
      <c r="D8" s="8">
        <v>0.4</v>
      </c>
      <c r="E8" s="9"/>
      <c r="F8" s="9"/>
      <c r="G8" s="9"/>
      <c r="H8" s="3" t="s">
        <v>16</v>
      </c>
    </row>
    <row r="9" spans="2:9" x14ac:dyDescent="0.25">
      <c r="B9" s="145" t="s">
        <v>452</v>
      </c>
      <c r="C9" s="149" t="s">
        <v>453</v>
      </c>
      <c r="D9" s="150">
        <v>0.4</v>
      </c>
      <c r="E9" s="9"/>
      <c r="F9" s="9"/>
      <c r="G9" s="9"/>
      <c r="H9" s="3"/>
    </row>
    <row r="10" spans="2:9" x14ac:dyDescent="0.25">
      <c r="B10" s="37"/>
      <c r="C10" s="37" t="s">
        <v>17</v>
      </c>
      <c r="D10" s="41"/>
      <c r="E10" s="41"/>
      <c r="F10" s="41"/>
      <c r="G10" s="41"/>
      <c r="H10" s="40"/>
      <c r="I10" s="40"/>
    </row>
    <row r="11" spans="2:9" x14ac:dyDescent="0.25">
      <c r="B11" s="3" t="s">
        <v>18</v>
      </c>
      <c r="C11" s="20" t="s">
        <v>19</v>
      </c>
      <c r="D11" s="4">
        <v>2.2999999999999998</v>
      </c>
      <c r="E11" s="5"/>
      <c r="F11" s="5"/>
      <c r="G11" s="5"/>
      <c r="H11" t="s">
        <v>20</v>
      </c>
    </row>
    <row r="12" spans="2:9" x14ac:dyDescent="0.25">
      <c r="B12" s="3" t="s">
        <v>21</v>
      </c>
      <c r="C12" s="20" t="s">
        <v>22</v>
      </c>
      <c r="D12" s="4">
        <v>0.7</v>
      </c>
      <c r="E12" s="5"/>
      <c r="F12" s="5"/>
      <c r="G12" s="5"/>
      <c r="H12" t="s">
        <v>20</v>
      </c>
    </row>
    <row r="13" spans="2:9" x14ac:dyDescent="0.25">
      <c r="B13" s="3" t="s">
        <v>23</v>
      </c>
      <c r="C13" s="20" t="s">
        <v>24</v>
      </c>
      <c r="D13" s="4">
        <v>1.4</v>
      </c>
      <c r="E13" s="5"/>
      <c r="F13" s="5"/>
      <c r="G13" s="5"/>
      <c r="H13" s="3" t="s">
        <v>25</v>
      </c>
    </row>
    <row r="14" spans="2:9" x14ac:dyDescent="0.25">
      <c r="B14" s="3" t="s">
        <v>26</v>
      </c>
      <c r="C14" s="20" t="s">
        <v>27</v>
      </c>
      <c r="D14" s="4">
        <v>1.1000000000000001</v>
      </c>
      <c r="E14" s="5"/>
      <c r="F14" s="5"/>
      <c r="G14" s="5"/>
      <c r="H14" s="3" t="s">
        <v>25</v>
      </c>
    </row>
    <row r="15" spans="2:9" x14ac:dyDescent="0.25">
      <c r="B15" s="3" t="s">
        <v>28</v>
      </c>
      <c r="C15" s="24" t="s">
        <v>29</v>
      </c>
      <c r="D15" s="25">
        <v>365</v>
      </c>
      <c r="E15" s="26"/>
      <c r="F15" s="26"/>
      <c r="G15" s="26"/>
    </row>
    <row r="16" spans="2:9" ht="15.75" thickBot="1" x14ac:dyDescent="0.3">
      <c r="C16" s="6"/>
      <c r="D16" s="1"/>
      <c r="E16" s="1"/>
      <c r="F16" s="1"/>
      <c r="G16" s="1"/>
    </row>
    <row r="17" spans="1:9" ht="45.75" thickTop="1" x14ac:dyDescent="0.25">
      <c r="C17" s="14" t="s">
        <v>30</v>
      </c>
      <c r="D17" s="43" t="s">
        <v>454</v>
      </c>
      <c r="E17" s="43" t="s">
        <v>455</v>
      </c>
      <c r="F17" s="43" t="s">
        <v>31</v>
      </c>
      <c r="G17" s="15"/>
      <c r="H17" s="18" t="s">
        <v>4</v>
      </c>
      <c r="I17" s="18"/>
    </row>
    <row r="18" spans="1:9" x14ac:dyDescent="0.25">
      <c r="A18" s="193"/>
      <c r="C18" s="164" t="s">
        <v>448</v>
      </c>
      <c r="D18" s="169">
        <v>150</v>
      </c>
      <c r="E18" s="169"/>
      <c r="F18" s="170">
        <f t="shared" ref="F18:F25" si="0">(D18*$D$11*$D$7+E18*$D$12*$D$9)*$D$15</f>
        <v>75555</v>
      </c>
      <c r="H18" t="s">
        <v>33</v>
      </c>
      <c r="I18"/>
    </row>
    <row r="19" spans="1:9" x14ac:dyDescent="0.25">
      <c r="C19" s="164" t="s">
        <v>32</v>
      </c>
      <c r="D19" s="169">
        <v>80</v>
      </c>
      <c r="E19" s="169"/>
      <c r="F19" s="170">
        <f t="shared" si="0"/>
        <v>40296</v>
      </c>
      <c r="H19" t="s">
        <v>35</v>
      </c>
    </row>
    <row r="20" spans="1:9" x14ac:dyDescent="0.25">
      <c r="C20" s="164" t="s">
        <v>34</v>
      </c>
      <c r="D20" s="169">
        <v>25</v>
      </c>
      <c r="E20" s="169"/>
      <c r="F20" s="170">
        <f t="shared" si="0"/>
        <v>12592.499999999998</v>
      </c>
      <c r="H20"/>
    </row>
    <row r="21" spans="1:9" x14ac:dyDescent="0.25">
      <c r="C21" s="166" t="s">
        <v>36</v>
      </c>
      <c r="D21" s="171">
        <v>5</v>
      </c>
      <c r="E21" s="171"/>
      <c r="F21" s="172">
        <f t="shared" si="0"/>
        <v>2518.5</v>
      </c>
      <c r="G21" s="45"/>
      <c r="H21" s="46"/>
      <c r="I21" s="46"/>
    </row>
    <row r="22" spans="1:9" ht="30" x14ac:dyDescent="0.25">
      <c r="A22" s="193"/>
      <c r="C22" s="164" t="s">
        <v>449</v>
      </c>
      <c r="D22" s="169"/>
      <c r="E22" s="169">
        <v>798</v>
      </c>
      <c r="F22" s="170">
        <f t="shared" si="0"/>
        <v>81555.599999999991</v>
      </c>
      <c r="H22" t="s">
        <v>38</v>
      </c>
    </row>
    <row r="23" spans="1:9" x14ac:dyDescent="0.25">
      <c r="A23" s="193"/>
      <c r="C23" s="164" t="s">
        <v>37</v>
      </c>
      <c r="D23" s="169"/>
      <c r="E23" s="169">
        <v>247</v>
      </c>
      <c r="F23" s="170">
        <f t="shared" si="0"/>
        <v>25243.399999999998</v>
      </c>
      <c r="H23" t="s">
        <v>35</v>
      </c>
    </row>
    <row r="24" spans="1:9" ht="30" x14ac:dyDescent="0.25">
      <c r="A24" s="193"/>
      <c r="C24" s="164" t="s">
        <v>39</v>
      </c>
      <c r="D24" s="169"/>
      <c r="E24" s="169">
        <v>13</v>
      </c>
      <c r="F24" s="170">
        <f t="shared" si="0"/>
        <v>1328.6000000000001</v>
      </c>
      <c r="H24"/>
    </row>
    <row r="25" spans="1:9" x14ac:dyDescent="0.25">
      <c r="A25" s="193"/>
      <c r="C25" s="166" t="s">
        <v>40</v>
      </c>
      <c r="D25" s="171"/>
      <c r="E25" s="171">
        <v>2</v>
      </c>
      <c r="F25" s="172">
        <f t="shared" si="0"/>
        <v>204.39999999999998</v>
      </c>
      <c r="G25" s="45"/>
      <c r="H25" s="46"/>
      <c r="I25" s="46"/>
    </row>
    <row r="26" spans="1:9" x14ac:dyDescent="0.25">
      <c r="A26" s="193"/>
      <c r="C26" s="164" t="s">
        <v>450</v>
      </c>
      <c r="D26" s="173">
        <v>327</v>
      </c>
      <c r="E26" s="173">
        <f>E22</f>
        <v>798</v>
      </c>
      <c r="F26" s="170">
        <f>(D26*$D$11*$D$7+E26*$D$12*$D$9)*$D$15</f>
        <v>246265.49999999997</v>
      </c>
      <c r="H26" t="s">
        <v>456</v>
      </c>
    </row>
    <row r="27" spans="1:9" x14ac:dyDescent="0.25">
      <c r="A27" s="193"/>
      <c r="C27" s="164" t="s">
        <v>41</v>
      </c>
      <c r="D27" s="173">
        <v>174.4</v>
      </c>
      <c r="E27" s="173">
        <f t="shared" ref="E27:E29" si="1">E23</f>
        <v>247</v>
      </c>
      <c r="F27" s="170">
        <f t="shared" ref="F27:F32" si="2">(D27*$D$11*$D$7+E27*$D$12*$D$9)*$D$15</f>
        <v>113088.68</v>
      </c>
      <c r="H27" t="s">
        <v>457</v>
      </c>
    </row>
    <row r="28" spans="1:9" x14ac:dyDescent="0.25">
      <c r="A28" s="193"/>
      <c r="C28" s="164" t="s">
        <v>42</v>
      </c>
      <c r="D28" s="173">
        <v>54.500000000000007</v>
      </c>
      <c r="E28" s="173">
        <f t="shared" si="1"/>
        <v>13</v>
      </c>
      <c r="F28" s="170">
        <f t="shared" si="2"/>
        <v>28780.250000000004</v>
      </c>
      <c r="H28" t="s">
        <v>35</v>
      </c>
    </row>
    <row r="29" spans="1:9" x14ac:dyDescent="0.25">
      <c r="A29" s="193"/>
      <c r="C29" s="166" t="s">
        <v>43</v>
      </c>
      <c r="D29" s="174">
        <v>10.9</v>
      </c>
      <c r="E29" s="174">
        <f t="shared" si="1"/>
        <v>2</v>
      </c>
      <c r="F29" s="172">
        <f t="shared" si="2"/>
        <v>5694.7300000000005</v>
      </c>
      <c r="G29" s="45"/>
      <c r="H29" s="46"/>
      <c r="I29" s="46"/>
    </row>
    <row r="30" spans="1:9" ht="30" x14ac:dyDescent="0.25">
      <c r="A30" s="193"/>
      <c r="C30" s="164" t="s">
        <v>451</v>
      </c>
      <c r="D30" s="173">
        <f>D18</f>
        <v>150</v>
      </c>
      <c r="E30" s="173">
        <f>E22</f>
        <v>798</v>
      </c>
      <c r="F30" s="170">
        <f t="shared" si="2"/>
        <v>157110.59999999998</v>
      </c>
      <c r="H30" s="48" t="s">
        <v>45</v>
      </c>
    </row>
    <row r="31" spans="1:9" ht="30" x14ac:dyDescent="0.25">
      <c r="A31" s="193"/>
      <c r="C31" s="164" t="s">
        <v>44</v>
      </c>
      <c r="D31" s="173">
        <f t="shared" ref="D31:D32" si="3">D19</f>
        <v>80</v>
      </c>
      <c r="E31" s="173">
        <f t="shared" ref="E31:E32" si="4">E23</f>
        <v>247</v>
      </c>
      <c r="F31" s="170">
        <f t="shared" si="2"/>
        <v>65539.399999999994</v>
      </c>
      <c r="H31" s="48"/>
    </row>
    <row r="32" spans="1:9" ht="30" x14ac:dyDescent="0.25">
      <c r="A32" s="193"/>
      <c r="C32" s="166" t="s">
        <v>46</v>
      </c>
      <c r="D32" s="174">
        <f t="shared" si="3"/>
        <v>25</v>
      </c>
      <c r="E32" s="174">
        <f t="shared" si="4"/>
        <v>13</v>
      </c>
      <c r="F32" s="172">
        <f t="shared" si="2"/>
        <v>13921.099999999997</v>
      </c>
      <c r="G32" s="45"/>
      <c r="H32" s="45"/>
      <c r="I32" s="46"/>
    </row>
    <row r="33" spans="1:9" ht="15.75" thickBot="1" x14ac:dyDescent="0.3">
      <c r="C33" s="42"/>
      <c r="D33" s="25"/>
      <c r="E33" s="25"/>
    </row>
    <row r="34" spans="1:9" ht="45.75" thickTop="1" x14ac:dyDescent="0.25">
      <c r="C34" s="14" t="s">
        <v>47</v>
      </c>
      <c r="D34" s="43" t="s">
        <v>48</v>
      </c>
      <c r="E34" s="43" t="s">
        <v>49</v>
      </c>
      <c r="F34" s="43" t="s">
        <v>50</v>
      </c>
      <c r="G34" s="15"/>
      <c r="H34" s="18" t="s">
        <v>4</v>
      </c>
      <c r="I34" s="18"/>
    </row>
    <row r="35" spans="1:9" x14ac:dyDescent="0.25">
      <c r="C35" s="24" t="s">
        <v>24</v>
      </c>
      <c r="D35" s="82">
        <v>2.6</v>
      </c>
      <c r="E35" s="25">
        <f>D35*D13*365</f>
        <v>1328.6</v>
      </c>
      <c r="F35" s="25">
        <f>E35*$D$8</f>
        <v>531.43999999999994</v>
      </c>
      <c r="H35" t="s">
        <v>51</v>
      </c>
    </row>
    <row r="36" spans="1:9" x14ac:dyDescent="0.25">
      <c r="C36" s="24" t="s">
        <v>27</v>
      </c>
      <c r="D36" s="82">
        <v>3.2</v>
      </c>
      <c r="E36" s="25">
        <f>D36*D14*365</f>
        <v>1284.8000000000002</v>
      </c>
      <c r="F36" s="25">
        <f>E36*$D$8</f>
        <v>513.92000000000007</v>
      </c>
      <c r="H36" t="s">
        <v>52</v>
      </c>
    </row>
    <row r="37" spans="1:9" x14ac:dyDescent="0.25">
      <c r="C37" s="42"/>
      <c r="D37" s="25"/>
      <c r="E37" s="25"/>
      <c r="H37" t="s">
        <v>53</v>
      </c>
    </row>
    <row r="39" spans="1:9" ht="30.75" thickBot="1" x14ac:dyDescent="0.3">
      <c r="B39" s="34"/>
      <c r="C39" s="49" t="s">
        <v>54</v>
      </c>
      <c r="D39" s="50">
        <v>2025</v>
      </c>
      <c r="E39" s="50">
        <v>2030</v>
      </c>
      <c r="F39" s="50">
        <v>2040</v>
      </c>
      <c r="G39" s="50">
        <v>2050</v>
      </c>
      <c r="H39" s="49" t="s">
        <v>4</v>
      </c>
      <c r="I39" s="49" t="s">
        <v>5</v>
      </c>
    </row>
    <row r="40" spans="1:9" x14ac:dyDescent="0.25">
      <c r="A40" s="193"/>
      <c r="B40" s="34"/>
      <c r="C40" s="164" t="s">
        <v>448</v>
      </c>
      <c r="D40" s="165">
        <f t="shared" ref="D40:G54" si="5">-$F18*D$5/1000000</f>
        <v>-22.899612760720238</v>
      </c>
      <c r="E40" s="165">
        <f t="shared" si="5"/>
        <v>-19.309531507712556</v>
      </c>
      <c r="F40" s="165">
        <f t="shared" si="5"/>
        <v>-8.9713921851035447</v>
      </c>
      <c r="G40" s="165">
        <f t="shared" si="5"/>
        <v>-3.4422248842059924</v>
      </c>
      <c r="H40" s="48" t="s">
        <v>55</v>
      </c>
    </row>
    <row r="41" spans="1:9" x14ac:dyDescent="0.25">
      <c r="C41" s="164" t="s">
        <v>32</v>
      </c>
      <c r="D41" s="165">
        <f t="shared" si="5"/>
        <v>-12.21312680571746</v>
      </c>
      <c r="E41" s="165">
        <f t="shared" si="5"/>
        <v>-10.298416804113364</v>
      </c>
      <c r="F41" s="165">
        <f t="shared" si="5"/>
        <v>-4.7847424987218909</v>
      </c>
      <c r="G41" s="165">
        <f t="shared" si="5"/>
        <v>-1.8358532715765292</v>
      </c>
      <c r="H41" s="48"/>
    </row>
    <row r="42" spans="1:9" x14ac:dyDescent="0.25">
      <c r="C42" s="164" t="s">
        <v>34</v>
      </c>
      <c r="D42" s="165">
        <f t="shared" si="5"/>
        <v>-3.8166021267867056</v>
      </c>
      <c r="E42" s="165">
        <f t="shared" si="5"/>
        <v>-3.2182552512854259</v>
      </c>
      <c r="F42" s="165">
        <f t="shared" si="5"/>
        <v>-1.4952320308505906</v>
      </c>
      <c r="G42" s="165">
        <f t="shared" si="5"/>
        <v>-0.57370414736766528</v>
      </c>
    </row>
    <row r="43" spans="1:9" x14ac:dyDescent="0.25">
      <c r="C43" s="166" t="s">
        <v>36</v>
      </c>
      <c r="D43" s="167">
        <f t="shared" si="5"/>
        <v>-0.76332042535734124</v>
      </c>
      <c r="E43" s="167">
        <f t="shared" si="5"/>
        <v>-0.64365105025708524</v>
      </c>
      <c r="F43" s="167">
        <f t="shared" si="5"/>
        <v>-0.29904640617011818</v>
      </c>
      <c r="G43" s="167">
        <f t="shared" si="5"/>
        <v>-0.11474082947353308</v>
      </c>
    </row>
    <row r="44" spans="1:9" ht="30" x14ac:dyDescent="0.25">
      <c r="A44" s="193"/>
      <c r="C44" s="164" t="s">
        <v>449</v>
      </c>
      <c r="D44" s="168">
        <f t="shared" si="5"/>
        <v>-24.718306643745553</v>
      </c>
      <c r="E44" s="168">
        <f t="shared" si="5"/>
        <v>-20.843100097020741</v>
      </c>
      <c r="F44" s="168">
        <f t="shared" si="5"/>
        <v>-9.6839027528479988</v>
      </c>
      <c r="G44" s="168">
        <f t="shared" si="5"/>
        <v>-3.7156073822559748</v>
      </c>
    </row>
    <row r="45" spans="1:9" x14ac:dyDescent="0.25">
      <c r="A45" s="193"/>
      <c r="C45" s="164" t="s">
        <v>37</v>
      </c>
      <c r="D45" s="165">
        <f t="shared" si="5"/>
        <v>-7.6509044373498138</v>
      </c>
      <c r="E45" s="165">
        <f t="shared" si="5"/>
        <v>-6.4514357443159449</v>
      </c>
      <c r="F45" s="165">
        <f t="shared" si="5"/>
        <v>-2.9973984711196189</v>
      </c>
      <c r="G45" s="165">
        <f t="shared" si="5"/>
        <v>-1.1500689516506588</v>
      </c>
    </row>
    <row r="46" spans="1:9" ht="30" x14ac:dyDescent="0.25">
      <c r="A46" s="193"/>
      <c r="C46" s="164" t="s">
        <v>39</v>
      </c>
      <c r="D46" s="165">
        <f t="shared" si="5"/>
        <v>-0.40267918091314814</v>
      </c>
      <c r="E46" s="165">
        <f t="shared" si="5"/>
        <v>-0.33954924970083922</v>
      </c>
      <c r="F46" s="165">
        <f t="shared" si="5"/>
        <v>-0.15775781426945368</v>
      </c>
      <c r="G46" s="165">
        <f t="shared" si="5"/>
        <v>-6.0529944823718901E-2</v>
      </c>
    </row>
    <row r="47" spans="1:9" x14ac:dyDescent="0.25">
      <c r="A47" s="193"/>
      <c r="C47" s="166" t="s">
        <v>40</v>
      </c>
      <c r="D47" s="167">
        <f t="shared" si="5"/>
        <v>-6.195064321740739E-2</v>
      </c>
      <c r="E47" s="167">
        <f t="shared" si="5"/>
        <v>-5.223834610782141E-2</v>
      </c>
      <c r="F47" s="167">
        <f t="shared" si="5"/>
        <v>-2.4270432964531328E-2</v>
      </c>
      <c r="G47" s="167">
        <f t="shared" si="5"/>
        <v>-9.312299203649059E-3</v>
      </c>
    </row>
    <row r="48" spans="1:9" x14ac:dyDescent="0.25">
      <c r="A48" s="193"/>
      <c r="C48" s="164" t="s">
        <v>450</v>
      </c>
      <c r="D48" s="168">
        <f t="shared" si="5"/>
        <v>-74.639462462115659</v>
      </c>
      <c r="E48" s="168">
        <f t="shared" si="5"/>
        <v>-62.937878783834115</v>
      </c>
      <c r="F48" s="168">
        <f t="shared" si="5"/>
        <v>-29.241537716373728</v>
      </c>
      <c r="G48" s="168">
        <f t="shared" si="5"/>
        <v>-11.219657629825036</v>
      </c>
    </row>
    <row r="49" spans="1:9" x14ac:dyDescent="0.25">
      <c r="A49" s="193"/>
      <c r="C49" s="164" t="s">
        <v>41</v>
      </c>
      <c r="D49" s="165">
        <f t="shared" si="5"/>
        <v>-34.275520873813875</v>
      </c>
      <c r="E49" s="165">
        <f t="shared" si="5"/>
        <v>-28.901984377283078</v>
      </c>
      <c r="F49" s="165">
        <f t="shared" si="5"/>
        <v>-13.428137118333339</v>
      </c>
      <c r="G49" s="165">
        <f t="shared" si="5"/>
        <v>-5.1522290836874918</v>
      </c>
    </row>
    <row r="50" spans="1:9" x14ac:dyDescent="0.25">
      <c r="A50" s="193"/>
      <c r="C50" s="164" t="s">
        <v>42</v>
      </c>
      <c r="D50" s="165">
        <f t="shared" si="5"/>
        <v>-8.7228718173081692</v>
      </c>
      <c r="E50" s="165">
        <f t="shared" si="5"/>
        <v>-7.3553456975030693</v>
      </c>
      <c r="F50" s="165">
        <f t="shared" si="5"/>
        <v>-3.4173636415237421</v>
      </c>
      <c r="G50" s="165">
        <f t="shared" si="5"/>
        <v>-1.3112049860852295</v>
      </c>
    </row>
    <row r="51" spans="1:9" x14ac:dyDescent="0.25">
      <c r="A51" s="193"/>
      <c r="C51" s="166" t="s">
        <v>43</v>
      </c>
      <c r="D51" s="167">
        <f t="shared" si="5"/>
        <v>-1.7259891704964114</v>
      </c>
      <c r="E51" s="167">
        <f t="shared" si="5"/>
        <v>-1.4553976356682674</v>
      </c>
      <c r="F51" s="167">
        <f t="shared" si="5"/>
        <v>-0.67619159841538901</v>
      </c>
      <c r="G51" s="167">
        <f t="shared" si="5"/>
        <v>-0.25944730745595118</v>
      </c>
    </row>
    <row r="52" spans="1:9" ht="30" x14ac:dyDescent="0.25">
      <c r="A52" s="193"/>
      <c r="C52" s="164" t="s">
        <v>451</v>
      </c>
      <c r="D52" s="168">
        <f t="shared" si="5"/>
        <v>-47.617919404465781</v>
      </c>
      <c r="E52" s="168">
        <f t="shared" si="5"/>
        <v>-40.152631604733294</v>
      </c>
      <c r="F52" s="168">
        <f t="shared" si="5"/>
        <v>-18.655294937951542</v>
      </c>
      <c r="G52" s="168">
        <f t="shared" si="5"/>
        <v>-7.1578322664619662</v>
      </c>
    </row>
    <row r="53" spans="1:9" ht="30" x14ac:dyDescent="0.25">
      <c r="A53" s="193"/>
      <c r="C53" s="164" t="s">
        <v>44</v>
      </c>
      <c r="D53" s="165">
        <f t="shared" si="5"/>
        <v>-19.864031243067274</v>
      </c>
      <c r="E53" s="165">
        <f t="shared" si="5"/>
        <v>-16.74985254842931</v>
      </c>
      <c r="F53" s="165">
        <f t="shared" si="5"/>
        <v>-7.7821409698415094</v>
      </c>
      <c r="G53" s="165">
        <f t="shared" si="5"/>
        <v>-2.9859222232271878</v>
      </c>
    </row>
    <row r="54" spans="1:9" ht="30" x14ac:dyDescent="0.25">
      <c r="A54" s="193"/>
      <c r="C54" s="166" t="s">
        <v>46</v>
      </c>
      <c r="D54" s="167">
        <f t="shared" si="5"/>
        <v>-4.2192813076998537</v>
      </c>
      <c r="E54" s="167">
        <f t="shared" si="5"/>
        <v>-3.5578045009862649</v>
      </c>
      <c r="F54" s="167">
        <f t="shared" si="5"/>
        <v>-1.6529898451200442</v>
      </c>
      <c r="G54" s="167">
        <f t="shared" si="5"/>
        <v>-0.63423409219138405</v>
      </c>
      <c r="H54" s="46"/>
      <c r="I54" s="46"/>
    </row>
    <row r="56" spans="1:9" ht="30.75" thickBot="1" x14ac:dyDescent="0.3">
      <c r="B56" s="34"/>
      <c r="C56" s="49" t="s">
        <v>56</v>
      </c>
      <c r="D56" s="50">
        <v>2025</v>
      </c>
      <c r="E56" s="50">
        <v>2030</v>
      </c>
      <c r="F56" s="50">
        <v>2040</v>
      </c>
      <c r="G56" s="50">
        <v>2050</v>
      </c>
      <c r="H56" s="49" t="s">
        <v>4</v>
      </c>
      <c r="I56" s="49" t="s">
        <v>5</v>
      </c>
    </row>
    <row r="57" spans="1:9" x14ac:dyDescent="0.25">
      <c r="C57" s="24" t="s">
        <v>24</v>
      </c>
      <c r="D57" s="47">
        <f t="shared" ref="D57:G58" si="6">-$F35*D$5/1000000*100</f>
        <v>-16.107167236525925</v>
      </c>
      <c r="E57" s="47">
        <f t="shared" si="6"/>
        <v>-13.581969988033565</v>
      </c>
      <c r="F57" s="47">
        <f t="shared" si="6"/>
        <v>-6.3103125707781453</v>
      </c>
      <c r="G57" s="47">
        <f t="shared" si="6"/>
        <v>-2.4211977929487554</v>
      </c>
      <c r="H57" s="48" t="s">
        <v>55</v>
      </c>
    </row>
    <row r="58" spans="1:9" x14ac:dyDescent="0.25">
      <c r="C58" s="24" t="s">
        <v>27</v>
      </c>
      <c r="D58" s="47">
        <f t="shared" si="6"/>
        <v>-15.576161723233865</v>
      </c>
      <c r="E58" s="47">
        <f t="shared" si="6"/>
        <v>-13.134212735680814</v>
      </c>
      <c r="F58" s="47">
        <f t="shared" si="6"/>
        <v>-6.1022802882250211</v>
      </c>
      <c r="G58" s="47">
        <f t="shared" si="6"/>
        <v>-2.3413780854889072</v>
      </c>
    </row>
    <row r="59" spans="1:9" x14ac:dyDescent="0.25">
      <c r="C59" s="42"/>
      <c r="D59" s="47"/>
      <c r="E59" s="47"/>
      <c r="F59" s="47"/>
      <c r="G59" s="47"/>
    </row>
    <row r="60" spans="1:9" ht="15.75" thickBot="1" x14ac:dyDescent="0.3">
      <c r="C60" s="85" t="s">
        <v>57</v>
      </c>
      <c r="D60" s="86">
        <v>2025</v>
      </c>
      <c r="E60" s="86">
        <v>2030</v>
      </c>
      <c r="F60" s="86">
        <v>2040</v>
      </c>
      <c r="G60" s="86">
        <v>2050</v>
      </c>
      <c r="H60" s="86"/>
      <c r="I60" s="86"/>
    </row>
    <row r="61" spans="1:9" x14ac:dyDescent="0.25">
      <c r="A61" s="193"/>
      <c r="C61" s="42" t="s">
        <v>448</v>
      </c>
      <c r="D61" s="51">
        <f t="shared" ref="D61:G61" si="7">MAX(-ROUND(D40,0),1)</f>
        <v>23</v>
      </c>
      <c r="E61" s="51">
        <f t="shared" si="7"/>
        <v>19</v>
      </c>
      <c r="F61" s="51">
        <f t="shared" si="7"/>
        <v>9</v>
      </c>
      <c r="G61" s="51">
        <f t="shared" si="7"/>
        <v>3</v>
      </c>
      <c r="H61" t="s">
        <v>58</v>
      </c>
    </row>
    <row r="62" spans="1:9" x14ac:dyDescent="0.25">
      <c r="C62" s="42" t="s">
        <v>32</v>
      </c>
      <c r="D62" s="51">
        <f>MAX(-ROUND(D41,0),1)</f>
        <v>12</v>
      </c>
      <c r="E62" s="51">
        <f t="shared" ref="E62:G62" si="8">MAX(-ROUND(E41,0),1)</f>
        <v>10</v>
      </c>
      <c r="F62" s="51">
        <f t="shared" si="8"/>
        <v>5</v>
      </c>
      <c r="G62" s="51">
        <f t="shared" si="8"/>
        <v>2</v>
      </c>
      <c r="H62"/>
    </row>
    <row r="63" spans="1:9" x14ac:dyDescent="0.25">
      <c r="C63" s="42" t="s">
        <v>34</v>
      </c>
      <c r="D63" s="51">
        <f t="shared" ref="D63:G63" si="9">MAX(-ROUND(D42,0),1)</f>
        <v>4</v>
      </c>
      <c r="E63" s="51">
        <f t="shared" si="9"/>
        <v>3</v>
      </c>
      <c r="F63" s="51">
        <f t="shared" si="9"/>
        <v>1</v>
      </c>
      <c r="G63" s="51">
        <f t="shared" si="9"/>
        <v>1</v>
      </c>
    </row>
    <row r="64" spans="1:9" x14ac:dyDescent="0.25">
      <c r="C64" s="44" t="s">
        <v>36</v>
      </c>
      <c r="D64" s="52">
        <f t="shared" ref="D64:G64" si="10">MAX(-ROUND(D43,0),1)</f>
        <v>1</v>
      </c>
      <c r="E64" s="52">
        <f t="shared" si="10"/>
        <v>1</v>
      </c>
      <c r="F64" s="52">
        <f t="shared" si="10"/>
        <v>1</v>
      </c>
      <c r="G64" s="52">
        <f t="shared" si="10"/>
        <v>1</v>
      </c>
    </row>
    <row r="65" spans="1:9" ht="30" x14ac:dyDescent="0.25">
      <c r="A65" s="193"/>
      <c r="C65" s="148" t="s">
        <v>449</v>
      </c>
      <c r="D65" s="151">
        <f t="shared" ref="D65:G65" si="11">MAX(-ROUND(D44,0),1)</f>
        <v>25</v>
      </c>
      <c r="E65" s="151">
        <f t="shared" si="11"/>
        <v>21</v>
      </c>
      <c r="F65" s="151">
        <f t="shared" si="11"/>
        <v>10</v>
      </c>
      <c r="G65" s="151">
        <f t="shared" si="11"/>
        <v>4</v>
      </c>
    </row>
    <row r="66" spans="1:9" x14ac:dyDescent="0.25">
      <c r="A66" s="193"/>
      <c r="C66" s="42" t="s">
        <v>37</v>
      </c>
      <c r="D66" s="51">
        <f t="shared" ref="D66:G66" si="12">MAX(-ROUND(D45,0),1)</f>
        <v>8</v>
      </c>
      <c r="E66" s="51">
        <f t="shared" si="12"/>
        <v>6</v>
      </c>
      <c r="F66" s="51">
        <f t="shared" si="12"/>
        <v>3</v>
      </c>
      <c r="G66" s="51">
        <f t="shared" si="12"/>
        <v>1</v>
      </c>
    </row>
    <row r="67" spans="1:9" ht="30" x14ac:dyDescent="0.25">
      <c r="A67" s="193"/>
      <c r="C67" s="42" t="s">
        <v>39</v>
      </c>
      <c r="D67" s="51">
        <f t="shared" ref="D67:G67" si="13">MAX(-ROUND(D46,0),1)</f>
        <v>1</v>
      </c>
      <c r="E67" s="51">
        <f t="shared" si="13"/>
        <v>1</v>
      </c>
      <c r="F67" s="51">
        <f t="shared" si="13"/>
        <v>1</v>
      </c>
      <c r="G67" s="51">
        <f t="shared" si="13"/>
        <v>1</v>
      </c>
    </row>
    <row r="68" spans="1:9" x14ac:dyDescent="0.25">
      <c r="A68" s="193"/>
      <c r="C68" s="44" t="s">
        <v>40</v>
      </c>
      <c r="D68" s="52">
        <f t="shared" ref="D68:G68" si="14">MAX(-ROUND(D47,0),1)</f>
        <v>1</v>
      </c>
      <c r="E68" s="52">
        <f t="shared" si="14"/>
        <v>1</v>
      </c>
      <c r="F68" s="52">
        <f t="shared" si="14"/>
        <v>1</v>
      </c>
      <c r="G68" s="52">
        <f t="shared" si="14"/>
        <v>1</v>
      </c>
    </row>
    <row r="69" spans="1:9" x14ac:dyDescent="0.25">
      <c r="A69" s="193"/>
      <c r="C69" s="148" t="s">
        <v>450</v>
      </c>
      <c r="D69" s="151">
        <f t="shared" ref="D69:G69" si="15">MAX(-ROUND(D48,0),1)</f>
        <v>75</v>
      </c>
      <c r="E69" s="151">
        <f t="shared" si="15"/>
        <v>63</v>
      </c>
      <c r="F69" s="151">
        <f t="shared" si="15"/>
        <v>29</v>
      </c>
      <c r="G69" s="151">
        <f t="shared" si="15"/>
        <v>11</v>
      </c>
    </row>
    <row r="70" spans="1:9" x14ac:dyDescent="0.25">
      <c r="A70" s="193"/>
      <c r="C70" s="42" t="s">
        <v>41</v>
      </c>
      <c r="D70" s="51">
        <f t="shared" ref="D70:G70" si="16">MAX(-ROUND(D49,0),1)</f>
        <v>34</v>
      </c>
      <c r="E70" s="51">
        <f t="shared" si="16"/>
        <v>29</v>
      </c>
      <c r="F70" s="51">
        <f t="shared" si="16"/>
        <v>13</v>
      </c>
      <c r="G70" s="51">
        <f t="shared" si="16"/>
        <v>5</v>
      </c>
    </row>
    <row r="71" spans="1:9" x14ac:dyDescent="0.25">
      <c r="A71" s="193"/>
      <c r="C71" s="42" t="s">
        <v>42</v>
      </c>
      <c r="D71" s="51">
        <f t="shared" ref="D71:G71" si="17">MAX(-ROUND(D50,0),1)</f>
        <v>9</v>
      </c>
      <c r="E71" s="51">
        <f t="shared" si="17"/>
        <v>7</v>
      </c>
      <c r="F71" s="51">
        <f t="shared" si="17"/>
        <v>3</v>
      </c>
      <c r="G71" s="51">
        <f t="shared" si="17"/>
        <v>1</v>
      </c>
    </row>
    <row r="72" spans="1:9" x14ac:dyDescent="0.25">
      <c r="A72" s="193"/>
      <c r="C72" s="44" t="s">
        <v>43</v>
      </c>
      <c r="D72" s="52">
        <f t="shared" ref="D72:G72" si="18">MAX(-ROUND(D51,0),1)</f>
        <v>2</v>
      </c>
      <c r="E72" s="52">
        <f t="shared" si="18"/>
        <v>1</v>
      </c>
      <c r="F72" s="52">
        <f t="shared" si="18"/>
        <v>1</v>
      </c>
      <c r="G72" s="52">
        <f t="shared" si="18"/>
        <v>1</v>
      </c>
    </row>
    <row r="73" spans="1:9" ht="30" x14ac:dyDescent="0.25">
      <c r="A73" s="193"/>
      <c r="C73" s="148" t="s">
        <v>451</v>
      </c>
      <c r="D73" s="151">
        <f t="shared" ref="D73:G73" si="19">MAX(-ROUND(D52,0),1)</f>
        <v>48</v>
      </c>
      <c r="E73" s="151">
        <f t="shared" si="19"/>
        <v>40</v>
      </c>
      <c r="F73" s="151">
        <f t="shared" si="19"/>
        <v>19</v>
      </c>
      <c r="G73" s="151">
        <f t="shared" si="19"/>
        <v>7</v>
      </c>
    </row>
    <row r="74" spans="1:9" ht="30" x14ac:dyDescent="0.25">
      <c r="A74" s="193"/>
      <c r="C74" s="42" t="s">
        <v>44</v>
      </c>
      <c r="D74" s="51">
        <f t="shared" ref="D74:G74" si="20">MAX(-ROUND(D53,0),1)</f>
        <v>20</v>
      </c>
      <c r="E74" s="51">
        <f t="shared" si="20"/>
        <v>17</v>
      </c>
      <c r="F74" s="51">
        <f t="shared" si="20"/>
        <v>8</v>
      </c>
      <c r="G74" s="51">
        <f t="shared" si="20"/>
        <v>3</v>
      </c>
    </row>
    <row r="75" spans="1:9" ht="30" x14ac:dyDescent="0.25">
      <c r="A75" s="193"/>
      <c r="C75" s="44" t="s">
        <v>46</v>
      </c>
      <c r="D75" s="52">
        <f t="shared" ref="D75:G75" si="21">MAX(-ROUND(D54,0),1)</f>
        <v>4</v>
      </c>
      <c r="E75" s="52">
        <f t="shared" si="21"/>
        <v>4</v>
      </c>
      <c r="F75" s="52">
        <f t="shared" si="21"/>
        <v>2</v>
      </c>
      <c r="G75" s="52">
        <f t="shared" si="21"/>
        <v>1</v>
      </c>
      <c r="H75" s="46"/>
      <c r="I75" s="46"/>
    </row>
    <row r="76" spans="1:9" x14ac:dyDescent="0.25">
      <c r="C76" s="42"/>
      <c r="D76" s="42"/>
      <c r="E76" s="42"/>
      <c r="F76" s="42"/>
      <c r="G76" s="42"/>
      <c r="H76" s="42"/>
    </row>
    <row r="77" spans="1:9" ht="15.75" thickBot="1" x14ac:dyDescent="0.3">
      <c r="C77" s="85" t="s">
        <v>59</v>
      </c>
      <c r="D77" s="86">
        <v>2025</v>
      </c>
      <c r="E77" s="86">
        <v>2030</v>
      </c>
      <c r="F77" s="86">
        <v>2040</v>
      </c>
      <c r="G77" s="86">
        <v>2050</v>
      </c>
      <c r="H77" s="86"/>
      <c r="I77" s="86"/>
    </row>
    <row r="78" spans="1:9" x14ac:dyDescent="0.25">
      <c r="C78" s="24" t="s">
        <v>24</v>
      </c>
      <c r="D78" s="84">
        <f t="shared" ref="D78:G79" si="22">MAX(-ROUND(D57,0),1)</f>
        <v>16</v>
      </c>
      <c r="E78" s="84">
        <f t="shared" si="22"/>
        <v>14</v>
      </c>
      <c r="F78" s="84">
        <f t="shared" si="22"/>
        <v>6</v>
      </c>
      <c r="G78" s="84">
        <f t="shared" si="22"/>
        <v>2</v>
      </c>
    </row>
    <row r="79" spans="1:9" x14ac:dyDescent="0.25">
      <c r="C79" s="83" t="s">
        <v>27</v>
      </c>
      <c r="D79" s="52">
        <f t="shared" si="22"/>
        <v>16</v>
      </c>
      <c r="E79" s="52">
        <f t="shared" si="22"/>
        <v>13</v>
      </c>
      <c r="F79" s="52">
        <f t="shared" si="22"/>
        <v>6</v>
      </c>
      <c r="G79" s="52">
        <f t="shared" si="22"/>
        <v>2</v>
      </c>
      <c r="H79" s="46"/>
      <c r="I79" s="46"/>
    </row>
  </sheetData>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7B5E3-E51F-4905-8EA4-9DB6B60F22E6}">
  <dimension ref="A1:R86"/>
  <sheetViews>
    <sheetView tabSelected="1" zoomScaleNormal="100" workbookViewId="0">
      <pane ySplit="3" topLeftCell="A4" activePane="bottomLeft" state="frozen"/>
      <selection pane="bottomLeft" activeCell="C23" sqref="C23"/>
    </sheetView>
  </sheetViews>
  <sheetFormatPr defaultRowHeight="15" x14ac:dyDescent="0.25"/>
  <cols>
    <col min="1" max="1" width="2.5703125" style="169" customWidth="1"/>
    <col min="2" max="2" width="4.42578125" style="3" customWidth="1"/>
    <col min="3" max="3" width="38.5703125" style="2" customWidth="1"/>
    <col min="4" max="4" width="8.140625" style="72" hidden="1" customWidth="1"/>
    <col min="5" max="8" width="11.28515625" customWidth="1"/>
    <col min="9" max="9" width="58.7109375" style="2" customWidth="1"/>
    <col min="11" max="11" width="10" bestFit="1" customWidth="1"/>
    <col min="12" max="12" width="16.85546875" customWidth="1"/>
    <col min="13" max="13" width="10.42578125" customWidth="1"/>
    <col min="14" max="17" width="9" bestFit="1" customWidth="1"/>
  </cols>
  <sheetData>
    <row r="1" spans="2:18" ht="15.75" thickTop="1" x14ac:dyDescent="0.25">
      <c r="B1" s="27" t="s">
        <v>60</v>
      </c>
      <c r="C1" s="27"/>
      <c r="D1" s="71"/>
      <c r="E1" s="27"/>
      <c r="F1" s="27"/>
      <c r="G1" s="28"/>
      <c r="H1" s="28"/>
      <c r="I1" s="29"/>
    </row>
    <row r="2" spans="2:18" x14ac:dyDescent="0.25">
      <c r="E2" s="94" t="s">
        <v>1</v>
      </c>
      <c r="F2" s="94"/>
      <c r="G2" s="94"/>
      <c r="H2" s="94"/>
    </row>
    <row r="3" spans="2:18" ht="15.75" thickBot="1" x14ac:dyDescent="0.3">
      <c r="B3" s="34" t="s">
        <v>2</v>
      </c>
      <c r="C3" s="17" t="s">
        <v>3</v>
      </c>
      <c r="D3" s="73">
        <v>2019</v>
      </c>
      <c r="E3" s="13">
        <v>2025</v>
      </c>
      <c r="F3" s="13">
        <v>2030</v>
      </c>
      <c r="G3" s="13">
        <v>2040</v>
      </c>
      <c r="H3" s="13">
        <v>2050</v>
      </c>
      <c r="I3" s="17" t="s">
        <v>61</v>
      </c>
    </row>
    <row r="4" spans="2:18" ht="15.75" thickTop="1" x14ac:dyDescent="0.25">
      <c r="B4" s="35"/>
      <c r="C4" s="14" t="s">
        <v>6</v>
      </c>
      <c r="D4" s="74"/>
      <c r="E4" s="14"/>
      <c r="F4" s="14"/>
      <c r="G4" s="15"/>
      <c r="H4" s="15"/>
      <c r="I4" s="16"/>
    </row>
    <row r="5" spans="2:18" x14ac:dyDescent="0.25">
      <c r="B5" s="37"/>
      <c r="C5" s="38" t="s">
        <v>62</v>
      </c>
      <c r="D5" s="75"/>
      <c r="E5" s="39"/>
      <c r="F5" s="39"/>
      <c r="G5" s="39"/>
      <c r="H5" s="39"/>
      <c r="I5" s="40"/>
      <c r="M5" s="1"/>
    </row>
    <row r="6" spans="2:18" x14ac:dyDescent="0.25">
      <c r="B6" s="3" t="s">
        <v>63</v>
      </c>
      <c r="C6" s="20" t="s">
        <v>64</v>
      </c>
      <c r="D6" s="76"/>
      <c r="E6" s="4">
        <v>13</v>
      </c>
      <c r="F6" s="5">
        <f>E6</f>
        <v>13</v>
      </c>
      <c r="G6" s="5">
        <f t="shared" ref="G6:H6" si="0">F6</f>
        <v>13</v>
      </c>
      <c r="H6" s="5">
        <f t="shared" si="0"/>
        <v>13</v>
      </c>
      <c r="I6" s="6" t="s">
        <v>65</v>
      </c>
      <c r="N6" s="82"/>
    </row>
    <row r="7" spans="2:18" x14ac:dyDescent="0.25">
      <c r="B7" s="3" t="s">
        <v>66</v>
      </c>
      <c r="C7" s="20" t="s">
        <v>67</v>
      </c>
      <c r="D7" s="76"/>
      <c r="E7" s="4">
        <v>13.7</v>
      </c>
      <c r="F7" s="5">
        <f>E7</f>
        <v>13.7</v>
      </c>
      <c r="G7" s="5">
        <f t="shared" ref="G7" si="1">F7</f>
        <v>13.7</v>
      </c>
      <c r="H7" s="5">
        <f t="shared" ref="H7" si="2">G7</f>
        <v>13.7</v>
      </c>
      <c r="I7" s="6" t="s">
        <v>65</v>
      </c>
      <c r="N7" s="82"/>
    </row>
    <row r="8" spans="2:18" x14ac:dyDescent="0.25">
      <c r="B8" s="37"/>
      <c r="C8" s="38" t="s">
        <v>68</v>
      </c>
      <c r="D8" s="75"/>
      <c r="E8" s="90"/>
      <c r="F8" s="90"/>
      <c r="G8" s="90"/>
      <c r="H8" s="90"/>
      <c r="I8" s="40"/>
      <c r="N8" s="82"/>
    </row>
    <row r="9" spans="2:18" x14ac:dyDescent="0.25">
      <c r="B9" s="3" t="s">
        <v>11</v>
      </c>
      <c r="C9" s="20" t="s">
        <v>64</v>
      </c>
      <c r="D9" s="76"/>
      <c r="E9" s="4">
        <v>11.5</v>
      </c>
      <c r="F9" s="5">
        <f>E9</f>
        <v>11.5</v>
      </c>
      <c r="G9" s="5">
        <f t="shared" ref="G9:H9" si="3">F9</f>
        <v>11.5</v>
      </c>
      <c r="H9" s="5">
        <f t="shared" si="3"/>
        <v>11.5</v>
      </c>
      <c r="I9" s="6" t="s">
        <v>69</v>
      </c>
      <c r="N9" s="82"/>
    </row>
    <row r="10" spans="2:18" x14ac:dyDescent="0.25">
      <c r="B10" s="3" t="s">
        <v>14</v>
      </c>
      <c r="C10" s="20" t="s">
        <v>67</v>
      </c>
      <c r="D10" s="76"/>
      <c r="E10" s="4">
        <v>3.5</v>
      </c>
      <c r="F10" s="5">
        <f>E10</f>
        <v>3.5</v>
      </c>
      <c r="G10" s="5">
        <f t="shared" ref="G10" si="4">F10</f>
        <v>3.5</v>
      </c>
      <c r="H10" s="5">
        <f t="shared" ref="H10" si="5">G10</f>
        <v>3.5</v>
      </c>
      <c r="I10" s="6" t="s">
        <v>65</v>
      </c>
    </row>
    <row r="11" spans="2:18" x14ac:dyDescent="0.25">
      <c r="B11" s="37"/>
      <c r="C11" s="38" t="s">
        <v>70</v>
      </c>
      <c r="D11" s="75"/>
      <c r="E11" s="90"/>
      <c r="F11" s="90"/>
      <c r="G11" s="90"/>
      <c r="H11" s="90"/>
      <c r="I11" s="40"/>
      <c r="N11" s="1"/>
    </row>
    <row r="12" spans="2:18" x14ac:dyDescent="0.25">
      <c r="B12" s="3" t="s">
        <v>18</v>
      </c>
      <c r="C12" s="20" t="s">
        <v>64</v>
      </c>
      <c r="D12" s="77">
        <f>[2]Baseline!$M$106*1000</f>
        <v>2804.6345621746009</v>
      </c>
      <c r="E12" s="7">
        <f>[3]Emissions!$H$13</f>
        <v>1555.2859497716231</v>
      </c>
      <c r="F12" s="7">
        <f>[3]Emissions!$M$13</f>
        <v>399.16686952162866</v>
      </c>
      <c r="G12" s="7">
        <f>[3]Emissions!$W$13</f>
        <v>0</v>
      </c>
      <c r="H12" s="7">
        <f>[3]Emissions!$AG$13</f>
        <v>0</v>
      </c>
      <c r="I12" s="6" t="s">
        <v>71</v>
      </c>
    </row>
    <row r="13" spans="2:18" ht="30" x14ac:dyDescent="0.25">
      <c r="B13" s="3" t="s">
        <v>21</v>
      </c>
      <c r="C13" s="20" t="s">
        <v>67</v>
      </c>
      <c r="D13" s="78">
        <f>[2]Baseline!$M$104*1000</f>
        <v>1115.9900448615317</v>
      </c>
      <c r="E13" s="59">
        <f>$D13*E12/$D12</f>
        <v>618.86267118963417</v>
      </c>
      <c r="F13" s="59">
        <f>$D13*F12/$D12</f>
        <v>158.83219105710617</v>
      </c>
      <c r="G13" s="59">
        <f>$D13*G12/$D12</f>
        <v>0</v>
      </c>
      <c r="H13" s="59">
        <f>$D13*H12/$D12</f>
        <v>0</v>
      </c>
      <c r="I13" s="2" t="s">
        <v>72</v>
      </c>
      <c r="O13" s="137"/>
      <c r="P13" s="137"/>
      <c r="Q13" s="137"/>
      <c r="R13" s="137"/>
    </row>
    <row r="14" spans="2:18" x14ac:dyDescent="0.25">
      <c r="B14" s="3" t="s">
        <v>23</v>
      </c>
      <c r="C14" s="20" t="s">
        <v>73</v>
      </c>
      <c r="D14" s="76"/>
      <c r="E14" s="7">
        <f>[1]EF!$U$3</f>
        <v>303.08533863702252</v>
      </c>
      <c r="F14" s="7">
        <f>[1]EF!$Y$3</f>
        <v>255.56920796390125</v>
      </c>
      <c r="G14" s="7">
        <f>[1]EF!$AI$3</f>
        <v>118.73988730201238</v>
      </c>
      <c r="H14" s="7">
        <f>[1]EF!$AS$3</f>
        <v>45.559193755621628</v>
      </c>
      <c r="I14" s="6" t="s">
        <v>74</v>
      </c>
      <c r="N14" s="82"/>
    </row>
    <row r="15" spans="2:18" x14ac:dyDescent="0.25">
      <c r="B15" s="37"/>
      <c r="C15" s="38" t="s">
        <v>75</v>
      </c>
      <c r="D15" s="75"/>
      <c r="E15" s="90"/>
      <c r="F15" s="90"/>
      <c r="G15" s="90"/>
      <c r="H15" s="90"/>
      <c r="I15" s="40"/>
      <c r="N15" s="82"/>
    </row>
    <row r="16" spans="2:18" x14ac:dyDescent="0.25">
      <c r="B16" s="3" t="s">
        <v>26</v>
      </c>
      <c r="C16" s="20" t="s">
        <v>64</v>
      </c>
      <c r="D16" s="77">
        <v>7151</v>
      </c>
      <c r="E16" s="7">
        <f>$D16*E12/$D12</f>
        <v>3965.5254830039039</v>
      </c>
      <c r="F16" s="7">
        <f>$D16*F12/$D12</f>
        <v>1017.7590772239314</v>
      </c>
      <c r="G16" s="7">
        <f>$D16*G12/$D12</f>
        <v>0</v>
      </c>
      <c r="H16" s="7">
        <f>$D16*H12/$D12</f>
        <v>0</v>
      </c>
      <c r="I16" s="6" t="s">
        <v>76</v>
      </c>
      <c r="N16" s="82"/>
    </row>
    <row r="17" spans="2:14" x14ac:dyDescent="0.25">
      <c r="B17" s="3" t="s">
        <v>28</v>
      </c>
      <c r="C17" s="6" t="s">
        <v>77</v>
      </c>
      <c r="D17" s="79"/>
      <c r="E17" s="8">
        <v>0.6</v>
      </c>
      <c r="F17" s="9">
        <f>E17</f>
        <v>0.6</v>
      </c>
      <c r="G17" s="9">
        <f>F17</f>
        <v>0.6</v>
      </c>
      <c r="H17" s="9">
        <f>G17</f>
        <v>0.6</v>
      </c>
      <c r="I17" s="6" t="s">
        <v>78</v>
      </c>
      <c r="N17" s="82"/>
    </row>
    <row r="18" spans="2:14" x14ac:dyDescent="0.25">
      <c r="B18" s="37"/>
      <c r="C18" s="38" t="s">
        <v>595</v>
      </c>
      <c r="D18" s="75"/>
      <c r="E18" s="37"/>
      <c r="F18" s="37"/>
      <c r="G18" s="37"/>
      <c r="H18" s="37"/>
      <c r="I18" s="40"/>
    </row>
    <row r="19" spans="2:14" x14ac:dyDescent="0.25">
      <c r="B19" s="3" t="s">
        <v>79</v>
      </c>
      <c r="C19" s="20" t="s">
        <v>64</v>
      </c>
      <c r="D19" s="76"/>
      <c r="E19" s="4">
        <v>4.5199999999999996</v>
      </c>
      <c r="F19" s="5">
        <f t="shared" ref="F19:H21" si="6">E19</f>
        <v>4.5199999999999996</v>
      </c>
      <c r="G19" s="5">
        <f t="shared" si="6"/>
        <v>4.5199999999999996</v>
      </c>
      <c r="H19" s="5">
        <f t="shared" si="6"/>
        <v>4.5199999999999996</v>
      </c>
      <c r="I19" s="2" t="s">
        <v>596</v>
      </c>
    </row>
    <row r="20" spans="2:14" x14ac:dyDescent="0.25">
      <c r="B20" s="3" t="s">
        <v>80</v>
      </c>
      <c r="C20" s="20" t="s">
        <v>67</v>
      </c>
      <c r="D20" s="76"/>
      <c r="E20" s="4">
        <f>E19</f>
        <v>4.5199999999999996</v>
      </c>
      <c r="F20" s="5">
        <f t="shared" si="6"/>
        <v>4.5199999999999996</v>
      </c>
      <c r="G20" s="5">
        <f t="shared" si="6"/>
        <v>4.5199999999999996</v>
      </c>
      <c r="H20" s="5">
        <f t="shared" si="6"/>
        <v>4.5199999999999996</v>
      </c>
      <c r="I20" s="2" t="s">
        <v>81</v>
      </c>
    </row>
    <row r="21" spans="2:14" x14ac:dyDescent="0.25">
      <c r="B21" s="3" t="s">
        <v>82</v>
      </c>
      <c r="C21" s="24" t="s">
        <v>29</v>
      </c>
      <c r="D21" s="80"/>
      <c r="E21" s="91">
        <v>300</v>
      </c>
      <c r="F21" s="26">
        <f t="shared" si="6"/>
        <v>300</v>
      </c>
      <c r="G21" s="26">
        <f t="shared" si="6"/>
        <v>300</v>
      </c>
      <c r="H21" s="26">
        <f t="shared" si="6"/>
        <v>300</v>
      </c>
    </row>
    <row r="22" spans="2:14" ht="15.75" thickBot="1" x14ac:dyDescent="0.3">
      <c r="C22" s="6"/>
      <c r="D22" s="79"/>
      <c r="E22" s="34"/>
      <c r="F22" s="34"/>
      <c r="G22" s="34"/>
      <c r="H22" s="34"/>
      <c r="K22" s="1"/>
    </row>
    <row r="23" spans="2:14" ht="15.75" thickTop="1" x14ac:dyDescent="0.25">
      <c r="C23" s="14" t="s">
        <v>609</v>
      </c>
      <c r="D23" s="74"/>
      <c r="E23" s="35"/>
      <c r="F23" s="35"/>
      <c r="G23" s="92"/>
      <c r="H23" s="92"/>
      <c r="I23" s="18" t="s">
        <v>83</v>
      </c>
      <c r="K23" s="68"/>
    </row>
    <row r="24" spans="2:14" x14ac:dyDescent="0.25">
      <c r="C24" s="6" t="s">
        <v>84</v>
      </c>
      <c r="D24" s="79"/>
      <c r="E24" s="3"/>
      <c r="F24" s="3"/>
      <c r="G24" s="3"/>
      <c r="H24" s="3"/>
      <c r="I24" s="6"/>
      <c r="K24" s="68"/>
    </row>
    <row r="25" spans="2:14" x14ac:dyDescent="0.25">
      <c r="C25" s="20" t="s">
        <v>85</v>
      </c>
      <c r="D25" s="76"/>
      <c r="E25" s="11">
        <f>-1000*E6*E9*E17*E14/1000000</f>
        <v>-27.18675487574092</v>
      </c>
      <c r="F25" s="11">
        <f t="shared" ref="F25:H25" si="7">-1000*F6*F9*F17*F14/1000000</f>
        <v>-22.924557954361941</v>
      </c>
      <c r="G25" s="11">
        <f t="shared" si="7"/>
        <v>-10.650967890990511</v>
      </c>
      <c r="H25" s="11">
        <f t="shared" si="7"/>
        <v>-4.0866596798792605</v>
      </c>
      <c r="I25" s="162" t="s">
        <v>416</v>
      </c>
      <c r="K25" s="169"/>
    </row>
    <row r="26" spans="2:14" x14ac:dyDescent="0.25">
      <c r="C26" s="20" t="s">
        <v>87</v>
      </c>
      <c r="D26" s="76"/>
      <c r="E26" s="10">
        <f>1000*E12*E6/1000000</f>
        <v>20.218717347031102</v>
      </c>
      <c r="F26" s="10">
        <f t="shared" ref="F26:H26" si="8">1000*F12*F6/1000000</f>
        <v>5.1891693037811724</v>
      </c>
      <c r="G26" s="10">
        <f t="shared" si="8"/>
        <v>0</v>
      </c>
      <c r="H26" s="10">
        <f t="shared" si="8"/>
        <v>0</v>
      </c>
      <c r="I26" s="162" t="s">
        <v>417</v>
      </c>
      <c r="K26" s="192"/>
    </row>
    <row r="27" spans="2:14" x14ac:dyDescent="0.25">
      <c r="C27" s="20" t="s">
        <v>88</v>
      </c>
      <c r="D27" s="76"/>
      <c r="E27" s="10">
        <v>0</v>
      </c>
      <c r="F27" s="10">
        <v>0</v>
      </c>
      <c r="G27" s="10">
        <v>0</v>
      </c>
      <c r="H27" s="10">
        <v>0</v>
      </c>
      <c r="I27" s="33"/>
      <c r="K27" s="169"/>
    </row>
    <row r="28" spans="2:14" x14ac:dyDescent="0.25">
      <c r="C28" s="20" t="s">
        <v>89</v>
      </c>
      <c r="D28" s="76"/>
      <c r="E28" s="10">
        <f>E26+E25</f>
        <v>-6.968037528709818</v>
      </c>
      <c r="F28" s="10">
        <f>F26+F25</f>
        <v>-17.735388650580767</v>
      </c>
      <c r="G28" s="10">
        <f>G26+G25</f>
        <v>-10.650967890990511</v>
      </c>
      <c r="H28" s="10">
        <f>H26+H25</f>
        <v>-4.0866596798792605</v>
      </c>
      <c r="I28" s="33" t="s">
        <v>90</v>
      </c>
      <c r="K28" s="169"/>
    </row>
    <row r="29" spans="2:14" x14ac:dyDescent="0.25">
      <c r="C29" s="20" t="s">
        <v>91</v>
      </c>
      <c r="D29" s="76"/>
      <c r="E29" s="10">
        <f>E27+E25</f>
        <v>-27.18675487574092</v>
      </c>
      <c r="F29" s="10">
        <f>F27+F25</f>
        <v>-22.924557954361941</v>
      </c>
      <c r="G29" s="10">
        <f>G27+G25</f>
        <v>-10.650967890990511</v>
      </c>
      <c r="H29" s="10">
        <f>H27+H25</f>
        <v>-4.0866596798792605</v>
      </c>
      <c r="I29" s="33"/>
      <c r="K29" s="169"/>
    </row>
    <row r="30" spans="2:14" x14ac:dyDescent="0.25">
      <c r="C30" s="19" t="s">
        <v>92</v>
      </c>
      <c r="D30" s="81"/>
      <c r="E30" s="12">
        <f>IF(E28&gt;0,"NA",-ROUND(E28,0))</f>
        <v>7</v>
      </c>
      <c r="F30" s="12">
        <f t="shared" ref="F30:H31" si="9">IF(F28&gt;0,"NA",-ROUND(F28,0))</f>
        <v>18</v>
      </c>
      <c r="G30" s="12">
        <f t="shared" si="9"/>
        <v>11</v>
      </c>
      <c r="H30" s="12">
        <f t="shared" si="9"/>
        <v>4</v>
      </c>
      <c r="I30" s="6"/>
      <c r="K30" s="192"/>
    </row>
    <row r="31" spans="2:14" x14ac:dyDescent="0.25">
      <c r="C31" s="19" t="s">
        <v>93</v>
      </c>
      <c r="D31" s="81"/>
      <c r="E31" s="12">
        <f>IF(E29&gt;0,"NA",-ROUND(E29,0))</f>
        <v>27</v>
      </c>
      <c r="F31" s="12">
        <f t="shared" si="9"/>
        <v>23</v>
      </c>
      <c r="G31" s="12">
        <f t="shared" si="9"/>
        <v>11</v>
      </c>
      <c r="H31" s="12">
        <f t="shared" si="9"/>
        <v>4</v>
      </c>
      <c r="I31" s="6"/>
      <c r="K31" s="169"/>
    </row>
    <row r="32" spans="2:14" ht="15.75" thickBot="1" x14ac:dyDescent="0.3">
      <c r="C32" s="3"/>
      <c r="D32" s="3"/>
      <c r="E32" s="3"/>
      <c r="F32" s="3"/>
      <c r="G32" s="3"/>
      <c r="H32" s="3"/>
      <c r="I32" s="3"/>
      <c r="K32" s="169"/>
    </row>
    <row r="33" spans="3:9" ht="15.75" thickTop="1" x14ac:dyDescent="0.25">
      <c r="C33" s="14" t="s">
        <v>94</v>
      </c>
      <c r="D33" s="74"/>
      <c r="E33" s="35"/>
      <c r="F33" s="35"/>
      <c r="G33" s="92"/>
      <c r="H33" s="92"/>
      <c r="I33" s="18" t="s">
        <v>83</v>
      </c>
    </row>
    <row r="34" spans="3:9" x14ac:dyDescent="0.25">
      <c r="C34" s="6" t="s">
        <v>84</v>
      </c>
      <c r="D34" s="79"/>
      <c r="E34" s="3"/>
      <c r="F34" s="3"/>
      <c r="G34" s="3"/>
      <c r="H34" s="3"/>
      <c r="I34" s="6" t="s">
        <v>95</v>
      </c>
    </row>
    <row r="35" spans="3:9" x14ac:dyDescent="0.25">
      <c r="C35" s="20" t="s">
        <v>96</v>
      </c>
      <c r="D35" s="76"/>
      <c r="E35" s="10">
        <f>E13*E7/1000</f>
        <v>8.4784185952979882</v>
      </c>
      <c r="F35" s="10">
        <f>F13*F7/1000</f>
        <v>2.1760010174823545</v>
      </c>
      <c r="G35" s="10">
        <f>G13*G7/1000</f>
        <v>0</v>
      </c>
      <c r="H35" s="10">
        <f>H13*H7/1000</f>
        <v>0</v>
      </c>
      <c r="I35" s="33" t="s">
        <v>97</v>
      </c>
    </row>
    <row r="36" spans="3:9" x14ac:dyDescent="0.25">
      <c r="C36" s="20" t="s">
        <v>85</v>
      </c>
      <c r="D36" s="76"/>
      <c r="E36" s="11">
        <f>-E7*E10*E14*E17/1000</f>
        <v>-8.7197651925871362</v>
      </c>
      <c r="F36" s="11">
        <f>-F7*F10*F14*F17/1000</f>
        <v>-7.3527261131214381</v>
      </c>
      <c r="G36" s="11">
        <f>-G7*G10*G14*G17/1000</f>
        <v>-3.4161465576788954</v>
      </c>
      <c r="H36" s="11">
        <f>-H7*H10*H14*H17/1000</f>
        <v>-1.310738004349234</v>
      </c>
      <c r="I36" s="33" t="s">
        <v>86</v>
      </c>
    </row>
    <row r="37" spans="3:9" x14ac:dyDescent="0.25">
      <c r="C37" s="20" t="s">
        <v>98</v>
      </c>
      <c r="D37" s="76"/>
      <c r="E37" s="10">
        <f>E35+E36</f>
        <v>-0.24134659728914798</v>
      </c>
      <c r="F37" s="10">
        <f t="shared" ref="F37" si="10">F35+F36</f>
        <v>-5.1767250956390836</v>
      </c>
      <c r="G37" s="10">
        <f t="shared" ref="G37" si="11">G35+G36</f>
        <v>-3.4161465576788954</v>
      </c>
      <c r="H37" s="10">
        <f t="shared" ref="H37" si="12">H35+H36</f>
        <v>-1.310738004349234</v>
      </c>
      <c r="I37" s="33" t="s">
        <v>90</v>
      </c>
    </row>
    <row r="38" spans="3:9" x14ac:dyDescent="0.25">
      <c r="C38" s="19" t="s">
        <v>99</v>
      </c>
      <c r="D38" s="81"/>
      <c r="E38" s="12">
        <f>IF(E37&gt;0,"NA",-ROUND(E37,0))</f>
        <v>0</v>
      </c>
      <c r="F38" s="12">
        <f t="shared" ref="F38" si="13">IF(F37&gt;0,"NA",-ROUND(F37,0))</f>
        <v>5</v>
      </c>
      <c r="G38" s="12">
        <f t="shared" ref="G38" si="14">IF(G37&gt;0,"NA",-ROUND(G37,0))</f>
        <v>3</v>
      </c>
      <c r="H38" s="12">
        <f t="shared" ref="H38" si="15">IF(H37&gt;0,"NA",-ROUND(H37,0))</f>
        <v>1</v>
      </c>
      <c r="I38" s="6"/>
    </row>
    <row r="39" spans="3:9" ht="15.75" thickBot="1" x14ac:dyDescent="0.3">
      <c r="C39" s="3"/>
      <c r="D39" s="3"/>
      <c r="E39" s="3"/>
      <c r="F39" s="3"/>
      <c r="G39" s="3"/>
      <c r="H39" s="3"/>
      <c r="I39" s="3"/>
    </row>
    <row r="40" spans="3:9" ht="15.75" thickTop="1" x14ac:dyDescent="0.25">
      <c r="C40" s="14" t="s">
        <v>100</v>
      </c>
      <c r="D40" s="74"/>
      <c r="E40" s="35"/>
      <c r="F40" s="35"/>
      <c r="G40" s="92"/>
      <c r="H40" s="92"/>
      <c r="I40" s="18" t="s">
        <v>101</v>
      </c>
    </row>
    <row r="41" spans="3:9" x14ac:dyDescent="0.25">
      <c r="C41" s="6" t="s">
        <v>102</v>
      </c>
      <c r="D41" s="79"/>
      <c r="E41" s="4">
        <v>-0.3</v>
      </c>
      <c r="F41" s="5">
        <f>E41</f>
        <v>-0.3</v>
      </c>
      <c r="G41" s="5">
        <f t="shared" ref="G41:H41" si="16">F41</f>
        <v>-0.3</v>
      </c>
      <c r="H41" s="5">
        <f t="shared" si="16"/>
        <v>-0.3</v>
      </c>
      <c r="I41" s="6" t="s">
        <v>103</v>
      </c>
    </row>
    <row r="42" spans="3:9" ht="30" x14ac:dyDescent="0.25">
      <c r="C42" s="6" t="s">
        <v>104</v>
      </c>
      <c r="D42" s="79"/>
      <c r="E42" s="21"/>
      <c r="F42" s="5"/>
      <c r="G42" s="5"/>
      <c r="H42" s="5"/>
    </row>
    <row r="43" spans="3:9" x14ac:dyDescent="0.25">
      <c r="C43" s="20" t="s">
        <v>105</v>
      </c>
      <c r="D43" s="76"/>
      <c r="E43" s="31">
        <f>-E41*1000000</f>
        <v>300000</v>
      </c>
      <c r="F43" s="31">
        <f t="shared" ref="F43:H43" si="17">-F41*1000000</f>
        <v>300000</v>
      </c>
      <c r="G43" s="31">
        <f t="shared" si="17"/>
        <v>300000</v>
      </c>
      <c r="H43" s="31">
        <f t="shared" si="17"/>
        <v>300000</v>
      </c>
      <c r="I43" s="36" t="s">
        <v>106</v>
      </c>
    </row>
    <row r="44" spans="3:9" x14ac:dyDescent="0.25">
      <c r="C44" s="20" t="s">
        <v>107</v>
      </c>
      <c r="D44" s="76"/>
      <c r="E44" s="31">
        <f>-E43*E19*E17</f>
        <v>-813599.99999999988</v>
      </c>
      <c r="F44" s="31">
        <f>-F43*F19*F17</f>
        <v>-813599.99999999988</v>
      </c>
      <c r="G44" s="31">
        <f>-G43*G19*G17</f>
        <v>-813599.99999999988</v>
      </c>
      <c r="H44" s="31">
        <f>-H43*H19*H17</f>
        <v>-813599.99999999988</v>
      </c>
      <c r="I44" s="33" t="s">
        <v>108</v>
      </c>
    </row>
    <row r="45" spans="3:9" x14ac:dyDescent="0.25">
      <c r="C45" s="20" t="s">
        <v>109</v>
      </c>
      <c r="D45" s="76"/>
      <c r="E45" s="10">
        <f>E44*E$14/1000000</f>
        <v>-246.59023151508148</v>
      </c>
      <c r="F45" s="10">
        <f>F44*F$14/1000000</f>
        <v>-207.93110759943002</v>
      </c>
      <c r="G45" s="10">
        <f>G44*G$14/1000000</f>
        <v>-96.606772308917257</v>
      </c>
      <c r="H45" s="10">
        <f>H44*H$14/1000000</f>
        <v>-37.06696003957375</v>
      </c>
      <c r="I45" s="33" t="s">
        <v>110</v>
      </c>
    </row>
    <row r="46" spans="3:9" x14ac:dyDescent="0.25">
      <c r="C46" s="19" t="s">
        <v>111</v>
      </c>
      <c r="D46" s="81"/>
      <c r="E46" s="12">
        <f>IF(E45&gt;0,"NA",-ROUND(E45,0))</f>
        <v>247</v>
      </c>
      <c r="F46" s="12">
        <f t="shared" ref="F46:H46" si="18">IF(F45&gt;0,"NA",-ROUND(F45,0))</f>
        <v>208</v>
      </c>
      <c r="G46" s="12">
        <f t="shared" si="18"/>
        <v>97</v>
      </c>
      <c r="H46" s="12">
        <f t="shared" si="18"/>
        <v>37</v>
      </c>
      <c r="I46" s="6"/>
    </row>
    <row r="47" spans="3:9" ht="30" x14ac:dyDescent="0.25">
      <c r="C47" s="19" t="s">
        <v>112</v>
      </c>
      <c r="D47" s="81"/>
      <c r="E47" s="93">
        <f>E46*0.5</f>
        <v>123.5</v>
      </c>
      <c r="F47" s="93">
        <f t="shared" ref="F47:H47" si="19">F46*0.5</f>
        <v>104</v>
      </c>
      <c r="G47" s="93">
        <f t="shared" si="19"/>
        <v>48.5</v>
      </c>
      <c r="H47" s="93">
        <f t="shared" si="19"/>
        <v>18.5</v>
      </c>
    </row>
    <row r="48" spans="3:9" ht="30" x14ac:dyDescent="0.25">
      <c r="C48" s="19" t="s">
        <v>113</v>
      </c>
      <c r="D48" s="81"/>
      <c r="E48" s="93">
        <f>E46*0.25</f>
        <v>61.75</v>
      </c>
      <c r="F48" s="93">
        <f t="shared" ref="F48:H48" si="20">F46*0.25</f>
        <v>52</v>
      </c>
      <c r="G48" s="93">
        <f t="shared" si="20"/>
        <v>24.25</v>
      </c>
      <c r="H48" s="93">
        <f t="shared" si="20"/>
        <v>9.25</v>
      </c>
    </row>
    <row r="49" spans="1:14" ht="15.75" thickBot="1" x14ac:dyDescent="0.3">
      <c r="C49" s="3"/>
      <c r="D49" s="3"/>
      <c r="E49" s="3"/>
      <c r="F49" s="3"/>
      <c r="G49" s="3"/>
      <c r="H49" s="3"/>
      <c r="I49" s="3"/>
    </row>
    <row r="50" spans="1:14" ht="15.75" thickTop="1" x14ac:dyDescent="0.25">
      <c r="C50" s="14" t="s">
        <v>114</v>
      </c>
      <c r="D50" s="74"/>
      <c r="E50" s="35"/>
      <c r="F50" s="35"/>
      <c r="G50" s="92"/>
      <c r="H50" s="92"/>
      <c r="I50" s="18" t="s">
        <v>115</v>
      </c>
    </row>
    <row r="51" spans="1:14" x14ac:dyDescent="0.25">
      <c r="C51" s="6" t="s">
        <v>116</v>
      </c>
      <c r="D51" s="79"/>
      <c r="E51" s="4">
        <v>-0.4</v>
      </c>
      <c r="F51" s="5">
        <f>E51</f>
        <v>-0.4</v>
      </c>
      <c r="G51" s="5">
        <f t="shared" ref="G51:H52" si="21">F51</f>
        <v>-0.4</v>
      </c>
      <c r="H51" s="5">
        <f t="shared" si="21"/>
        <v>-0.4</v>
      </c>
      <c r="I51" s="6" t="s">
        <v>117</v>
      </c>
    </row>
    <row r="52" spans="1:14" x14ac:dyDescent="0.25">
      <c r="C52" s="6" t="s">
        <v>118</v>
      </c>
      <c r="D52" s="79"/>
      <c r="E52" s="69">
        <v>-0.1</v>
      </c>
      <c r="F52" s="9">
        <f>E52</f>
        <v>-0.1</v>
      </c>
      <c r="G52" s="9">
        <f t="shared" si="21"/>
        <v>-0.1</v>
      </c>
      <c r="H52" s="9">
        <f t="shared" si="21"/>
        <v>-0.1</v>
      </c>
      <c r="I52" s="6" t="s">
        <v>119</v>
      </c>
    </row>
    <row r="53" spans="1:14" x14ac:dyDescent="0.25">
      <c r="C53" s="6" t="s">
        <v>120</v>
      </c>
      <c r="D53" s="79"/>
      <c r="E53" s="21"/>
      <c r="F53" s="5"/>
      <c r="G53" s="5"/>
      <c r="H53" s="5"/>
      <c r="I53" s="6"/>
    </row>
    <row r="54" spans="1:14" x14ac:dyDescent="0.25">
      <c r="C54" s="20" t="s">
        <v>121</v>
      </c>
      <c r="D54" s="76"/>
      <c r="E54" s="31">
        <f>E9*E51*E52*1000*E$21</f>
        <v>138000.00000000003</v>
      </c>
      <c r="F54" s="31">
        <f>F9*F51*F52*1000*F$21</f>
        <v>138000.00000000003</v>
      </c>
      <c r="G54" s="31">
        <f>G9*G51*G52*1000*G$21</f>
        <v>138000.00000000003</v>
      </c>
      <c r="H54" s="31">
        <f>H9*H51*H52*1000*H$21</f>
        <v>138000.00000000003</v>
      </c>
      <c r="I54" s="33" t="s">
        <v>122</v>
      </c>
    </row>
    <row r="55" spans="1:14" x14ac:dyDescent="0.25">
      <c r="C55" s="20" t="s">
        <v>107</v>
      </c>
      <c r="D55" s="76"/>
      <c r="E55" s="31">
        <f>-E54*E17</f>
        <v>-82800.000000000015</v>
      </c>
      <c r="F55" s="31">
        <f>-F54*F17</f>
        <v>-82800.000000000015</v>
      </c>
      <c r="G55" s="31">
        <f>-G54*G17</f>
        <v>-82800.000000000015</v>
      </c>
      <c r="H55" s="31">
        <f>-H54*H17</f>
        <v>-82800.000000000015</v>
      </c>
      <c r="I55" s="33" t="s">
        <v>123</v>
      </c>
    </row>
    <row r="56" spans="1:14" x14ac:dyDescent="0.25">
      <c r="C56" s="20" t="s">
        <v>124</v>
      </c>
      <c r="D56" s="76"/>
      <c r="E56" s="32">
        <f>E55*E$14/1000000</f>
        <v>-25.095466039145471</v>
      </c>
      <c r="F56" s="32">
        <f>F55*F$14/1000000</f>
        <v>-21.161130419411027</v>
      </c>
      <c r="G56" s="32">
        <f>G55*G$14/1000000</f>
        <v>-9.8316626686066257</v>
      </c>
      <c r="H56" s="32">
        <f>H55*H$14/1000000</f>
        <v>-3.7723012429654714</v>
      </c>
      <c r="I56" s="33" t="s">
        <v>110</v>
      </c>
    </row>
    <row r="57" spans="1:14" x14ac:dyDescent="0.25">
      <c r="C57" s="20" t="s">
        <v>125</v>
      </c>
      <c r="D57" s="76"/>
      <c r="E57" s="31">
        <f>(1000/E6)*E16*E52*E21/1000000</f>
        <v>-9.151212653085933</v>
      </c>
      <c r="F57" s="31">
        <f>(1000/F6)*F16*F52*F21/1000000</f>
        <v>-2.348674793593688</v>
      </c>
      <c r="G57" s="31">
        <f>(1000/G6)*G16*G52*G21/1000000</f>
        <v>0</v>
      </c>
      <c r="H57" s="31">
        <f>(1000/H6)*H16*H52*H21/1000000</f>
        <v>0</v>
      </c>
      <c r="I57" s="6"/>
    </row>
    <row r="58" spans="1:14" x14ac:dyDescent="0.25">
      <c r="C58" s="20" t="s">
        <v>109</v>
      </c>
      <c r="D58" s="76"/>
      <c r="E58" s="32">
        <f>E56+E57</f>
        <v>-34.246678692231406</v>
      </c>
      <c r="F58" s="32">
        <f t="shared" ref="F58:H58" si="22">F56+F57</f>
        <v>-23.509805213004714</v>
      </c>
      <c r="G58" s="32">
        <f t="shared" si="22"/>
        <v>-9.8316626686066257</v>
      </c>
      <c r="H58" s="32">
        <f t="shared" si="22"/>
        <v>-3.7723012429654714</v>
      </c>
      <c r="I58" s="6"/>
    </row>
    <row r="59" spans="1:14" x14ac:dyDescent="0.25">
      <c r="C59" s="19" t="s">
        <v>126</v>
      </c>
      <c r="D59" s="81"/>
      <c r="E59" s="12">
        <f>IF(E58&gt;0,"NA",-ROUND(E58,0))</f>
        <v>34</v>
      </c>
      <c r="F59" s="12">
        <f t="shared" ref="F59:H59" si="23">IF(F58&gt;0,"NA",-ROUND(F58,0))</f>
        <v>24</v>
      </c>
      <c r="G59" s="12">
        <f t="shared" si="23"/>
        <v>10</v>
      </c>
      <c r="H59" s="12">
        <f t="shared" si="23"/>
        <v>4</v>
      </c>
      <c r="I59" s="6"/>
    </row>
    <row r="60" spans="1:14" ht="15.75" thickBot="1" x14ac:dyDescent="0.3"/>
    <row r="61" spans="1:14" ht="15.75" thickTop="1" x14ac:dyDescent="0.25">
      <c r="A61" s="193"/>
      <c r="C61" s="14" t="s">
        <v>505</v>
      </c>
      <c r="D61" s="74"/>
      <c r="E61" s="35"/>
      <c r="F61" s="35"/>
      <c r="G61" s="92"/>
      <c r="H61" s="92"/>
      <c r="I61" s="18"/>
      <c r="L61" s="1" t="s">
        <v>531</v>
      </c>
      <c r="M61" t="s">
        <v>511</v>
      </c>
      <c r="N61" t="s">
        <v>512</v>
      </c>
    </row>
    <row r="62" spans="1:14" ht="30" x14ac:dyDescent="0.25">
      <c r="A62" s="193"/>
      <c r="C62" s="6" t="s">
        <v>522</v>
      </c>
      <c r="D62" s="3"/>
      <c r="E62" s="180"/>
      <c r="F62" s="180">
        <f>E62*1.1</f>
        <v>0</v>
      </c>
      <c r="G62" s="180">
        <f t="shared" ref="G62:H63" si="24">F62*1.1</f>
        <v>0</v>
      </c>
      <c r="H62" s="180">
        <f t="shared" si="24"/>
        <v>0</v>
      </c>
      <c r="I62" s="6" t="s">
        <v>517</v>
      </c>
      <c r="M62" t="s">
        <v>509</v>
      </c>
      <c r="N62" t="s">
        <v>513</v>
      </c>
    </row>
    <row r="63" spans="1:14" ht="30" x14ac:dyDescent="0.25">
      <c r="A63" s="193"/>
      <c r="C63" s="6" t="s">
        <v>523</v>
      </c>
      <c r="D63" s="3"/>
      <c r="E63" s="181">
        <f>E62*3</f>
        <v>0</v>
      </c>
      <c r="F63" s="181">
        <f>E63*1.1</f>
        <v>0</v>
      </c>
      <c r="G63" s="181">
        <f t="shared" si="24"/>
        <v>0</v>
      </c>
      <c r="H63" s="181">
        <f t="shared" si="24"/>
        <v>0</v>
      </c>
      <c r="I63" s="6" t="s">
        <v>518</v>
      </c>
      <c r="M63" t="s">
        <v>510</v>
      </c>
      <c r="N63" t="s">
        <v>514</v>
      </c>
    </row>
    <row r="64" spans="1:14" ht="30" x14ac:dyDescent="0.25">
      <c r="A64" s="193"/>
      <c r="C64" s="6" t="s">
        <v>506</v>
      </c>
      <c r="D64" s="3"/>
      <c r="E64" s="179">
        <v>0.6</v>
      </c>
      <c r="F64" s="178"/>
      <c r="G64" s="178"/>
      <c r="H64" s="178"/>
      <c r="I64" s="6" t="s">
        <v>520</v>
      </c>
      <c r="N64" t="s">
        <v>515</v>
      </c>
    </row>
    <row r="65" spans="1:17" ht="30" x14ac:dyDescent="0.25">
      <c r="A65" s="193"/>
      <c r="C65" s="6" t="s">
        <v>519</v>
      </c>
      <c r="D65" s="3"/>
      <c r="E65" s="187">
        <v>4.5199999999999996</v>
      </c>
      <c r="F65" s="178"/>
      <c r="G65" s="178"/>
      <c r="H65" s="178"/>
      <c r="I65" s="6" t="s">
        <v>521</v>
      </c>
      <c r="N65" t="s">
        <v>516</v>
      </c>
    </row>
    <row r="66" spans="1:17" x14ac:dyDescent="0.25">
      <c r="A66" s="193"/>
      <c r="C66" s="6" t="s">
        <v>508</v>
      </c>
      <c r="D66" s="3"/>
      <c r="E66" s="183" t="s">
        <v>509</v>
      </c>
      <c r="F66" s="178"/>
      <c r="G66" s="178"/>
      <c r="H66" s="178"/>
      <c r="I66" s="6" t="s">
        <v>517</v>
      </c>
      <c r="N66" t="s">
        <v>532</v>
      </c>
    </row>
    <row r="67" spans="1:17" x14ac:dyDescent="0.25">
      <c r="A67" s="193"/>
      <c r="C67" s="6" t="s">
        <v>507</v>
      </c>
      <c r="D67" s="3"/>
      <c r="E67" s="183" t="s">
        <v>532</v>
      </c>
      <c r="F67" s="183" t="s">
        <v>532</v>
      </c>
      <c r="G67" s="183" t="s">
        <v>516</v>
      </c>
      <c r="H67" s="183" t="s">
        <v>516</v>
      </c>
      <c r="I67" s="6" t="s">
        <v>517</v>
      </c>
    </row>
    <row r="68" spans="1:17" x14ac:dyDescent="0.25">
      <c r="A68" s="193"/>
      <c r="C68" s="2" t="s">
        <v>524</v>
      </c>
      <c r="E68" s="82" t="e">
        <f>E63*$E65/E62</f>
        <v>#DIV/0!</v>
      </c>
      <c r="F68" s="82" t="e">
        <f t="shared" ref="F68:H68" si="25">F63*$E65/F62</f>
        <v>#DIV/0!</v>
      </c>
      <c r="G68" s="82" t="e">
        <f t="shared" si="25"/>
        <v>#DIV/0!</v>
      </c>
      <c r="H68" s="82" t="e">
        <f t="shared" si="25"/>
        <v>#DIV/0!</v>
      </c>
      <c r="I68" s="36" t="s">
        <v>534</v>
      </c>
      <c r="M68" s="1" t="s">
        <v>530</v>
      </c>
      <c r="N68" s="1">
        <v>2025</v>
      </c>
      <c r="O68" s="1">
        <v>2030</v>
      </c>
      <c r="P68" s="1">
        <v>2040</v>
      </c>
      <c r="Q68" s="1">
        <v>2050</v>
      </c>
    </row>
    <row r="69" spans="1:17" x14ac:dyDescent="0.25">
      <c r="A69" s="193"/>
      <c r="C69" s="24" t="s">
        <v>525</v>
      </c>
      <c r="D69" s="3"/>
      <c r="E69" s="59">
        <f>-E63*$E65*$E64</f>
        <v>0</v>
      </c>
      <c r="F69" s="59">
        <f t="shared" ref="F69:H69" si="26">-F63*$E65*$E64</f>
        <v>0</v>
      </c>
      <c r="G69" s="59">
        <f t="shared" si="26"/>
        <v>0</v>
      </c>
      <c r="H69" s="59">
        <f t="shared" si="26"/>
        <v>0</v>
      </c>
      <c r="I69" s="184" t="s">
        <v>535</v>
      </c>
      <c r="K69" t="s">
        <v>510</v>
      </c>
      <c r="L69" t="s">
        <v>514</v>
      </c>
      <c r="M69" t="str">
        <f t="shared" ref="M69:M77" si="27">CONCATENATE(K69," ",L69)</f>
        <v>15-20' van CNG</v>
      </c>
      <c r="N69" s="68">
        <f t="shared" ref="N69:Q73" si="28">N74*$E$13/$E$12</f>
        <v>706.12779757815156</v>
      </c>
      <c r="O69" s="68">
        <f t="shared" si="28"/>
        <v>646.73387067905458</v>
      </c>
      <c r="P69" s="68">
        <f t="shared" si="28"/>
        <v>576.67103468882385</v>
      </c>
      <c r="Q69" s="68">
        <f t="shared" si="28"/>
        <v>562.60588750129148</v>
      </c>
    </row>
    <row r="70" spans="1:17" x14ac:dyDescent="0.25">
      <c r="A70" s="193"/>
      <c r="C70" s="6" t="s">
        <v>528</v>
      </c>
      <c r="D70" s="79"/>
      <c r="E70" s="3"/>
      <c r="F70" s="3"/>
      <c r="G70" s="3"/>
      <c r="H70" s="3"/>
      <c r="I70" s="6"/>
      <c r="K70" t="s">
        <v>510</v>
      </c>
      <c r="L70" t="s">
        <v>513</v>
      </c>
      <c r="M70" t="str">
        <f t="shared" si="27"/>
        <v>15-20' van diesel</v>
      </c>
      <c r="N70" s="68">
        <f t="shared" si="28"/>
        <v>1171.9497956714538</v>
      </c>
      <c r="O70" s="68">
        <f t="shared" si="28"/>
        <v>1073.3745792131069</v>
      </c>
      <c r="P70" s="68">
        <f t="shared" si="28"/>
        <v>957.09233313168727</v>
      </c>
      <c r="Q70" s="68">
        <f t="shared" si="28"/>
        <v>933.74861768945084</v>
      </c>
    </row>
    <row r="71" spans="1:17" x14ac:dyDescent="0.25">
      <c r="A71" s="193"/>
      <c r="C71" s="20" t="s">
        <v>85</v>
      </c>
      <c r="D71" s="76"/>
      <c r="E71" s="182">
        <f>E69*E14/1000000</f>
        <v>0</v>
      </c>
      <c r="F71" s="182">
        <f>F69*F14/1000000</f>
        <v>0</v>
      </c>
      <c r="G71" s="182">
        <f>G69*G14/1000000</f>
        <v>0</v>
      </c>
      <c r="H71" s="182">
        <f>H69*H14/1000000</f>
        <v>0</v>
      </c>
      <c r="I71" s="162" t="s">
        <v>110</v>
      </c>
      <c r="K71" t="s">
        <v>510</v>
      </c>
      <c r="L71" t="s">
        <v>516</v>
      </c>
      <c r="M71" t="str">
        <f t="shared" si="27"/>
        <v>15-20' van electric</v>
      </c>
      <c r="N71" s="68">
        <f t="shared" si="28"/>
        <v>0</v>
      </c>
      <c r="O71" s="68">
        <f t="shared" si="28"/>
        <v>0</v>
      </c>
      <c r="P71" s="68">
        <f t="shared" si="28"/>
        <v>0</v>
      </c>
      <c r="Q71" s="68">
        <f t="shared" si="28"/>
        <v>0</v>
      </c>
    </row>
    <row r="72" spans="1:17" x14ac:dyDescent="0.25">
      <c r="A72" s="193"/>
      <c r="C72" s="20" t="s">
        <v>526</v>
      </c>
      <c r="D72" s="76"/>
      <c r="E72" s="59">
        <f>E62*VLOOKUP(CONCATENATE($E66," ",E67),$M$69:$Q$78,2)/1000000</f>
        <v>0</v>
      </c>
      <c r="F72" s="59">
        <f>F62*VLOOKUP(CONCATENATE($E66," ",F67),$M$69:$Q$78,3)/1000000</f>
        <v>0</v>
      </c>
      <c r="G72" s="59">
        <f>G62*VLOOKUP(CONCATENATE($E66," ",G67),$M$69:$Q$78,4)/1000000</f>
        <v>0</v>
      </c>
      <c r="H72" s="59">
        <f>H62*VLOOKUP(CONCATENATE($E66," ",H67),$M$69:$Q$78,5)/1000000</f>
        <v>0</v>
      </c>
      <c r="I72" s="162" t="s">
        <v>417</v>
      </c>
      <c r="K72" t="s">
        <v>510</v>
      </c>
      <c r="L72" t="s">
        <v>532</v>
      </c>
      <c r="M72" t="str">
        <f t="shared" si="27"/>
        <v>15-20' van fleet average</v>
      </c>
      <c r="N72" s="68">
        <f t="shared" si="28"/>
        <v>618.86267118963417</v>
      </c>
      <c r="O72" s="68">
        <f t="shared" si="28"/>
        <v>158.83219105710617</v>
      </c>
      <c r="P72" s="68">
        <f t="shared" si="28"/>
        <v>0</v>
      </c>
      <c r="Q72" s="68">
        <f t="shared" si="28"/>
        <v>0</v>
      </c>
    </row>
    <row r="73" spans="1:17" x14ac:dyDescent="0.25">
      <c r="A73" s="193"/>
      <c r="C73" s="20" t="s">
        <v>527</v>
      </c>
      <c r="D73" s="76"/>
      <c r="E73" s="59">
        <f>E72+E71</f>
        <v>0</v>
      </c>
      <c r="F73" s="59">
        <f>F72+F71</f>
        <v>0</v>
      </c>
      <c r="G73" s="59">
        <f>G72+G71</f>
        <v>0</v>
      </c>
      <c r="H73" s="59">
        <f>H72+H71</f>
        <v>0</v>
      </c>
      <c r="I73" s="33" t="s">
        <v>90</v>
      </c>
      <c r="K73" t="s">
        <v>510</v>
      </c>
      <c r="L73" t="s">
        <v>515</v>
      </c>
      <c r="M73" t="str">
        <f t="shared" si="27"/>
        <v>15-20' van hybrid electric</v>
      </c>
      <c r="N73" s="68">
        <f t="shared" si="28"/>
        <v>937.55983653716316</v>
      </c>
      <c r="O73" s="68">
        <f t="shared" si="28"/>
        <v>858.69966337048572</v>
      </c>
      <c r="P73" s="68">
        <f t="shared" si="28"/>
        <v>765.67386650534979</v>
      </c>
      <c r="Q73" s="68">
        <f t="shared" si="28"/>
        <v>746.99889415156076</v>
      </c>
    </row>
    <row r="74" spans="1:17" x14ac:dyDescent="0.25">
      <c r="A74" s="193"/>
      <c r="C74" s="19" t="s">
        <v>529</v>
      </c>
      <c r="D74" s="81"/>
      <c r="E74" s="12">
        <f>IF(E73&gt;0,"NA",-ROUND(E73,0))</f>
        <v>0</v>
      </c>
      <c r="F74" s="12">
        <f>IF(F73&gt;0,"NA",-ROUND(F73,0))</f>
        <v>0</v>
      </c>
      <c r="G74" s="12">
        <f>IF(G73&gt;0,"NA",-ROUND(G73,0))</f>
        <v>0</v>
      </c>
      <c r="H74" s="12">
        <f>IF(H73&gt;0,"NA",-ROUND(H73,0))</f>
        <v>0</v>
      </c>
      <c r="I74" s="6"/>
      <c r="K74" t="s">
        <v>509</v>
      </c>
      <c r="L74" t="s">
        <v>514</v>
      </c>
      <c r="M74" t="str">
        <f t="shared" si="27"/>
        <v>35-40' bus CNG</v>
      </c>
      <c r="N74" s="68">
        <f>N75*Electrification!$K$14</f>
        <v>1774.5950651787755</v>
      </c>
      <c r="O74" s="68">
        <f>O75*Electrification!$K$14</f>
        <v>1625.3300596964482</v>
      </c>
      <c r="P74" s="68">
        <f>P75*Electrification!$K$14</f>
        <v>1449.2526365626668</v>
      </c>
      <c r="Q74" s="68">
        <f>Q75*Electrification!$K$14</f>
        <v>1413.9050112806503</v>
      </c>
    </row>
    <row r="75" spans="1:17" x14ac:dyDescent="0.25">
      <c r="K75" t="s">
        <v>509</v>
      </c>
      <c r="L75" t="s">
        <v>513</v>
      </c>
      <c r="M75" t="str">
        <f t="shared" si="27"/>
        <v>35-40' bus diesel</v>
      </c>
      <c r="N75" s="68">
        <f>[3]Emissions!$H$12</f>
        <v>2945.2690166975881</v>
      </c>
      <c r="O75" s="68">
        <f>[3]Emissions!$M$12</f>
        <v>2697.5361087510614</v>
      </c>
      <c r="P75" s="68">
        <f>[3]Emissions!$W$12</f>
        <v>2405.3030303030305</v>
      </c>
      <c r="Q75" s="68">
        <f>[3]Emissions!$AG$12</f>
        <v>2346.6371027346636</v>
      </c>
    </row>
    <row r="76" spans="1:17" x14ac:dyDescent="0.25">
      <c r="K76" t="s">
        <v>509</v>
      </c>
      <c r="L76" t="s">
        <v>516</v>
      </c>
      <c r="M76" t="str">
        <f t="shared" si="27"/>
        <v>35-40' bus electric</v>
      </c>
      <c r="N76" s="68">
        <v>0</v>
      </c>
      <c r="O76" s="68">
        <v>0</v>
      </c>
      <c r="P76" s="68">
        <v>0</v>
      </c>
      <c r="Q76" s="68">
        <v>0</v>
      </c>
    </row>
    <row r="77" spans="1:17" x14ac:dyDescent="0.25">
      <c r="K77" t="s">
        <v>509</v>
      </c>
      <c r="L77" t="s">
        <v>532</v>
      </c>
      <c r="M77" t="str">
        <f t="shared" si="27"/>
        <v>35-40' bus fleet average</v>
      </c>
      <c r="N77" s="68">
        <f>E12</f>
        <v>1555.2859497716231</v>
      </c>
      <c r="O77" s="68">
        <f>F12</f>
        <v>399.16686952162866</v>
      </c>
      <c r="P77" s="68">
        <f>G12</f>
        <v>0</v>
      </c>
      <c r="Q77" s="68">
        <f>H12</f>
        <v>0</v>
      </c>
    </row>
    <row r="78" spans="1:17" x14ac:dyDescent="0.25">
      <c r="K78" t="s">
        <v>509</v>
      </c>
      <c r="L78" t="s">
        <v>515</v>
      </c>
      <c r="M78" t="str">
        <f t="shared" ref="M78" si="29">CONCATENATE(K78," ",L78)</f>
        <v>35-40' bus hybrid electric</v>
      </c>
      <c r="N78" s="68">
        <f>N75*0.8</f>
        <v>2356.2152133580707</v>
      </c>
      <c r="O78" s="68">
        <f t="shared" ref="O78:Q78" si="30">O75*0.8</f>
        <v>2158.0288870008494</v>
      </c>
      <c r="P78" s="68">
        <f t="shared" si="30"/>
        <v>1924.2424242424245</v>
      </c>
      <c r="Q78" s="68">
        <f t="shared" si="30"/>
        <v>1877.3096821877309</v>
      </c>
    </row>
    <row r="81" spans="3:3" x14ac:dyDescent="0.25">
      <c r="C81" s="138"/>
    </row>
    <row r="85" spans="3:3" x14ac:dyDescent="0.25">
      <c r="C85" s="139"/>
    </row>
    <row r="86" spans="3:3" x14ac:dyDescent="0.25">
      <c r="C86" s="139"/>
    </row>
  </sheetData>
  <dataValidations count="2">
    <dataValidation type="list" allowBlank="1" showInputMessage="1" showErrorMessage="1" sqref="E67:H67" xr:uid="{8D4B7EB1-D50E-4CED-B7CA-4C03C43C17DF}">
      <formula1>$N$62:$N$66</formula1>
    </dataValidation>
    <dataValidation type="list" allowBlank="1" showInputMessage="1" showErrorMessage="1" sqref="E66" xr:uid="{CA093F06-5487-42ED-8D2A-6ABAF8D7AD9E}">
      <formula1>$M$62:$M$63</formula1>
    </dataValidation>
  </dataValidations>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F36D6-11F7-4ECC-9903-9CCB4B43780B}">
  <dimension ref="A1:N75"/>
  <sheetViews>
    <sheetView zoomScaleNormal="100" workbookViewId="0">
      <pane ySplit="3" topLeftCell="A25" activePane="bottomLeft" state="frozen"/>
      <selection pane="bottomLeft" activeCell="H38" sqref="H38"/>
    </sheetView>
  </sheetViews>
  <sheetFormatPr defaultRowHeight="15" x14ac:dyDescent="0.25"/>
  <cols>
    <col min="1" max="1" width="2.5703125" style="169" customWidth="1"/>
    <col min="2" max="2" width="4.42578125" style="3" customWidth="1"/>
    <col min="3" max="3" width="36.140625" style="2" customWidth="1"/>
    <col min="4" max="7" width="9.7109375" customWidth="1"/>
    <col min="8" max="8" width="54.140625" style="2" customWidth="1"/>
    <col min="11" max="11" width="10" bestFit="1" customWidth="1"/>
  </cols>
  <sheetData>
    <row r="1" spans="2:14" ht="15.75" thickTop="1" x14ac:dyDescent="0.25">
      <c r="B1" s="27" t="s">
        <v>127</v>
      </c>
      <c r="C1" s="27"/>
      <c r="D1" s="27"/>
      <c r="E1" s="27"/>
      <c r="F1" s="28"/>
      <c r="G1" s="28"/>
      <c r="H1" s="29"/>
    </row>
    <row r="2" spans="2:14" x14ac:dyDescent="0.25">
      <c r="D2" s="94" t="s">
        <v>1</v>
      </c>
      <c r="E2" s="94"/>
      <c r="F2" s="94"/>
      <c r="G2" s="94"/>
    </row>
    <row r="3" spans="2:14" ht="15.75" thickBot="1" x14ac:dyDescent="0.3">
      <c r="B3" s="34" t="s">
        <v>2</v>
      </c>
      <c r="C3" s="17" t="s">
        <v>3</v>
      </c>
      <c r="D3" s="13">
        <v>2025</v>
      </c>
      <c r="E3" s="13">
        <v>2030</v>
      </c>
      <c r="F3" s="13">
        <v>2040</v>
      </c>
      <c r="G3" s="13">
        <v>2050</v>
      </c>
      <c r="H3" s="17" t="s">
        <v>61</v>
      </c>
    </row>
    <row r="4" spans="2:14" ht="15.75" thickTop="1" x14ac:dyDescent="0.25">
      <c r="B4" s="35"/>
      <c r="C4" s="35" t="s">
        <v>70</v>
      </c>
      <c r="D4" s="35"/>
      <c r="E4" s="35"/>
      <c r="F4" s="92"/>
      <c r="G4" s="92"/>
      <c r="H4" s="95"/>
    </row>
    <row r="5" spans="2:14" x14ac:dyDescent="0.25">
      <c r="C5" s="6" t="s">
        <v>130</v>
      </c>
      <c r="D5" s="7">
        <f>[3]Emissions!$H$12</f>
        <v>2945.2690166975881</v>
      </c>
      <c r="E5" s="7">
        <f>[3]Emissions!$M$12</f>
        <v>2697.5361087510614</v>
      </c>
      <c r="F5" s="7">
        <f>[3]Emissions!$W$12</f>
        <v>2405.3030303030305</v>
      </c>
      <c r="G5" s="7">
        <f>[3]Emissions!$AG$12</f>
        <v>2346.6371027346636</v>
      </c>
      <c r="H5" s="6" t="s">
        <v>128</v>
      </c>
      <c r="K5" s="1" t="s">
        <v>404</v>
      </c>
      <c r="L5" s="1"/>
      <c r="M5" s="1"/>
      <c r="N5" s="1" t="s">
        <v>398</v>
      </c>
    </row>
    <row r="6" spans="2:14" x14ac:dyDescent="0.25">
      <c r="C6" s="6" t="s">
        <v>131</v>
      </c>
      <c r="D6" s="7">
        <f>D5/1.2</f>
        <v>2454.3908472479902</v>
      </c>
      <c r="E6" s="7">
        <f t="shared" ref="E6:G6" si="0">E5/1.2</f>
        <v>2247.9467572925514</v>
      </c>
      <c r="F6" s="7">
        <f t="shared" si="0"/>
        <v>2004.4191919191921</v>
      </c>
      <c r="G6" s="7">
        <f t="shared" si="0"/>
        <v>1955.5309189455531</v>
      </c>
      <c r="H6" s="6" t="s">
        <v>132</v>
      </c>
      <c r="K6" s="140">
        <v>53.07</v>
      </c>
      <c r="L6" s="142" t="s">
        <v>396</v>
      </c>
      <c r="N6" t="s">
        <v>399</v>
      </c>
    </row>
    <row r="7" spans="2:14" ht="30" x14ac:dyDescent="0.25">
      <c r="C7" s="156" t="s">
        <v>394</v>
      </c>
      <c r="D7" s="60">
        <f>D5*$K$14</f>
        <v>1774.5950651787755</v>
      </c>
      <c r="E7" s="60">
        <f t="shared" ref="E7:G7" si="1">E5*$K$14</f>
        <v>1625.3300596964482</v>
      </c>
      <c r="F7" s="60">
        <f t="shared" si="1"/>
        <v>1449.2526365626668</v>
      </c>
      <c r="G7" s="60">
        <f t="shared" si="1"/>
        <v>1413.9050112806503</v>
      </c>
      <c r="H7" s="156" t="s">
        <v>415</v>
      </c>
      <c r="K7" s="141">
        <v>120238.09523809524</v>
      </c>
      <c r="L7" s="142" t="s">
        <v>397</v>
      </c>
      <c r="N7" t="s">
        <v>400</v>
      </c>
    </row>
    <row r="8" spans="2:14" x14ac:dyDescent="0.25">
      <c r="C8" s="6" t="s">
        <v>133</v>
      </c>
      <c r="D8" s="7">
        <v>0</v>
      </c>
      <c r="E8" s="7">
        <v>0</v>
      </c>
      <c r="F8" s="7">
        <v>0</v>
      </c>
      <c r="G8" s="7">
        <v>0</v>
      </c>
      <c r="H8" s="6" t="s">
        <v>129</v>
      </c>
      <c r="K8" s="141">
        <f>K6/1000*K7</f>
        <v>6381.0357142857138</v>
      </c>
      <c r="L8" s="142" t="s">
        <v>395</v>
      </c>
    </row>
    <row r="9" spans="2:14" ht="30" x14ac:dyDescent="0.25">
      <c r="C9" s="6" t="s">
        <v>134</v>
      </c>
      <c r="D9" s="7">
        <f>[2]Baseline!$T$107*1000</f>
        <v>1242.9114329734577</v>
      </c>
      <c r="E9" s="7">
        <f>[2]Baseline!$X$107*1000</f>
        <v>1150.0373277059566</v>
      </c>
      <c r="F9" s="7">
        <f>[2]Baseline!$AH$107*1000</f>
        <v>1007.1480945377094</v>
      </c>
      <c r="G9" s="7">
        <f>F9</f>
        <v>1007.1480945377094</v>
      </c>
      <c r="H9" s="6" t="s">
        <v>135</v>
      </c>
      <c r="K9">
        <v>1.1100000000000001</v>
      </c>
      <c r="L9" s="142" t="s">
        <v>402</v>
      </c>
    </row>
    <row r="10" spans="2:14" x14ac:dyDescent="0.25">
      <c r="C10" s="6" t="s">
        <v>136</v>
      </c>
      <c r="D10" s="7">
        <v>0</v>
      </c>
      <c r="E10" s="7">
        <v>0</v>
      </c>
      <c r="F10" s="7">
        <v>0</v>
      </c>
      <c r="G10" s="7">
        <v>0</v>
      </c>
      <c r="H10" s="6" t="s">
        <v>129</v>
      </c>
      <c r="K10">
        <v>0.94</v>
      </c>
      <c r="L10" s="142" t="s">
        <v>401</v>
      </c>
    </row>
    <row r="11" spans="2:14" ht="30" x14ac:dyDescent="0.25">
      <c r="C11" s="6" t="s">
        <v>137</v>
      </c>
      <c r="D11" s="7">
        <f>[2]Baseline!$T$104*1000</f>
        <v>1010.5969810494981</v>
      </c>
      <c r="E11" s="7">
        <f>[2]Baseline!$X$104*1000</f>
        <v>936.17991726124649</v>
      </c>
      <c r="F11" s="7">
        <f>[2]Baseline!$AH$104*1000</f>
        <v>809.4161987893159</v>
      </c>
      <c r="G11" s="7">
        <f>F11</f>
        <v>809.4161987893159</v>
      </c>
      <c r="H11" s="6" t="s">
        <v>138</v>
      </c>
      <c r="K11" s="143">
        <f>K8/K9/K10</f>
        <v>6115.6178975327903</v>
      </c>
      <c r="L11" s="142" t="s">
        <v>403</v>
      </c>
    </row>
    <row r="12" spans="2:14" x14ac:dyDescent="0.25">
      <c r="C12" s="6" t="s">
        <v>139</v>
      </c>
      <c r="D12" s="7">
        <v>0</v>
      </c>
      <c r="E12" s="7">
        <v>0</v>
      </c>
      <c r="F12" s="7">
        <v>0</v>
      </c>
      <c r="G12" s="7">
        <v>0</v>
      </c>
      <c r="H12" s="6" t="s">
        <v>129</v>
      </c>
      <c r="K12" s="1" t="s">
        <v>405</v>
      </c>
    </row>
    <row r="13" spans="2:14" ht="30" x14ac:dyDescent="0.25">
      <c r="C13" s="6" t="s">
        <v>140</v>
      </c>
      <c r="D13" s="7">
        <f>[2]Baseline!$T$105*1000</f>
        <v>1285.9459119712146</v>
      </c>
      <c r="E13" s="7">
        <f>[2]Baseline!$X$105*1000</f>
        <v>1198.8356512547828</v>
      </c>
      <c r="F13" s="7">
        <f>[2]Baseline!$AH$105*1000</f>
        <v>1074.2545022435372</v>
      </c>
      <c r="G13" s="7">
        <f>F13</f>
        <v>1074.2545022435372</v>
      </c>
      <c r="H13" s="6" t="s">
        <v>141</v>
      </c>
      <c r="K13" s="68">
        <v>10150</v>
      </c>
      <c r="L13" s="142" t="s">
        <v>403</v>
      </c>
    </row>
    <row r="14" spans="2:14" x14ac:dyDescent="0.25">
      <c r="C14" s="6" t="s">
        <v>142</v>
      </c>
      <c r="D14" s="7">
        <v>0</v>
      </c>
      <c r="E14" s="7">
        <v>0</v>
      </c>
      <c r="F14" s="7">
        <v>0</v>
      </c>
      <c r="G14" s="7">
        <v>0</v>
      </c>
      <c r="H14" s="6" t="s">
        <v>129</v>
      </c>
      <c r="K14" s="144">
        <f>K11/K13</f>
        <v>0.60252393079140787</v>
      </c>
      <c r="L14" s="142" t="s">
        <v>406</v>
      </c>
    </row>
    <row r="15" spans="2:14" x14ac:dyDescent="0.25">
      <c r="C15" s="6" t="s">
        <v>143</v>
      </c>
      <c r="D15" s="7">
        <v>0</v>
      </c>
      <c r="E15" s="7">
        <v>0</v>
      </c>
      <c r="F15" s="7">
        <v>0</v>
      </c>
      <c r="G15" s="7">
        <v>0</v>
      </c>
      <c r="H15" s="6" t="s">
        <v>129</v>
      </c>
      <c r="L15" s="142" t="s">
        <v>407</v>
      </c>
    </row>
    <row r="16" spans="2:14" ht="15.75" thickBot="1" x14ac:dyDescent="0.3">
      <c r="C16" s="6"/>
      <c r="D16" s="3"/>
      <c r="E16" s="3"/>
      <c r="F16" s="3"/>
      <c r="G16" s="3"/>
      <c r="H16" s="6"/>
    </row>
    <row r="17" spans="2:8" ht="15.75" thickTop="1" x14ac:dyDescent="0.25">
      <c r="B17" s="35"/>
      <c r="C17" s="35" t="s">
        <v>144</v>
      </c>
      <c r="D17" s="35"/>
      <c r="E17" s="35"/>
      <c r="F17" s="92"/>
      <c r="G17" s="92"/>
      <c r="H17" s="97"/>
    </row>
    <row r="18" spans="2:8" x14ac:dyDescent="0.25">
      <c r="C18" s="6" t="s">
        <v>145</v>
      </c>
      <c r="D18" s="7">
        <v>31396</v>
      </c>
      <c r="E18" s="7"/>
      <c r="F18" s="7"/>
      <c r="G18" s="7"/>
      <c r="H18" s="6" t="s">
        <v>128</v>
      </c>
    </row>
    <row r="19" spans="2:8" ht="30" x14ac:dyDescent="0.25">
      <c r="C19" s="6" t="s">
        <v>146</v>
      </c>
      <c r="D19" s="7">
        <v>9939</v>
      </c>
      <c r="E19" s="7"/>
      <c r="F19" s="7"/>
      <c r="G19" s="7"/>
      <c r="H19" s="6" t="s">
        <v>147</v>
      </c>
    </row>
    <row r="20" spans="2:8" ht="30" x14ac:dyDescent="0.25">
      <c r="C20" s="6" t="s">
        <v>148</v>
      </c>
      <c r="D20" s="7">
        <v>18386.619052924791</v>
      </c>
      <c r="E20" s="7"/>
      <c r="F20" s="7"/>
      <c r="G20" s="7"/>
      <c r="H20" s="6" t="s">
        <v>149</v>
      </c>
    </row>
    <row r="21" spans="2:8" ht="30" x14ac:dyDescent="0.25">
      <c r="C21" s="6" t="s">
        <v>150</v>
      </c>
      <c r="D21" s="7">
        <v>25185</v>
      </c>
      <c r="E21" s="7"/>
      <c r="F21" s="7"/>
      <c r="G21" s="7"/>
      <c r="H21" s="6" t="s">
        <v>151</v>
      </c>
    </row>
    <row r="22" spans="2:8" ht="30" x14ac:dyDescent="0.25">
      <c r="C22" s="6" t="s">
        <v>152</v>
      </c>
      <c r="D22" s="7">
        <v>41628</v>
      </c>
      <c r="E22" s="7"/>
      <c r="F22" s="7"/>
      <c r="G22" s="7"/>
      <c r="H22" s="6" t="s">
        <v>153</v>
      </c>
    </row>
    <row r="23" spans="2:8" ht="15.75" thickBot="1" x14ac:dyDescent="0.3">
      <c r="C23" s="6"/>
      <c r="D23" s="7"/>
      <c r="E23" s="7"/>
      <c r="F23" s="7"/>
      <c r="G23" s="7"/>
      <c r="H23" s="6"/>
    </row>
    <row r="24" spans="2:8" ht="15.75" thickTop="1" x14ac:dyDescent="0.25">
      <c r="B24" s="35"/>
      <c r="C24" s="35" t="s">
        <v>408</v>
      </c>
      <c r="D24" s="35"/>
      <c r="E24" s="35"/>
      <c r="F24" s="92"/>
      <c r="G24" s="92"/>
      <c r="H24" s="95"/>
    </row>
    <row r="25" spans="2:8" x14ac:dyDescent="0.25">
      <c r="C25" s="6" t="s">
        <v>154</v>
      </c>
      <c r="D25" s="11">
        <f>$D18*(D6-D$5)/1000000</f>
        <v>-15.411611008039575</v>
      </c>
      <c r="E25" s="11">
        <f>$D18*(E6-E$5)/1000000</f>
        <v>-14.115307278391381</v>
      </c>
      <c r="F25" s="11">
        <f>$D18*(F6-F$5)/1000000</f>
        <v>-12.586148989898989</v>
      </c>
      <c r="G25" s="11">
        <f>$D18*(G6-G$5)/1000000</f>
        <v>-12.279169746242912</v>
      </c>
      <c r="H25" s="33" t="s">
        <v>155</v>
      </c>
    </row>
    <row r="26" spans="2:8" x14ac:dyDescent="0.25">
      <c r="C26" s="156" t="s">
        <v>412</v>
      </c>
      <c r="D26" s="177">
        <f>$D18*(D7-D$5)/1000000</f>
        <v>-36.754479381884643</v>
      </c>
      <c r="E26" s="177">
        <f>$D18*(E7-E$5)/1000000</f>
        <v>-33.662981116118637</v>
      </c>
      <c r="F26" s="177">
        <f>$D18*(F7-F$5)/1000000</f>
        <v>-30.016158161872458</v>
      </c>
      <c r="G26" s="177">
        <f>$D18*(G7-G$5)/1000000</f>
        <v>-29.284056743290201</v>
      </c>
      <c r="H26" s="162" t="s">
        <v>413</v>
      </c>
    </row>
    <row r="27" spans="2:8" x14ac:dyDescent="0.25">
      <c r="C27" s="6" t="s">
        <v>156</v>
      </c>
      <c r="D27" s="11">
        <f>$D18*(D8-D$5)/1000000</f>
        <v>-92.469666048237471</v>
      </c>
      <c r="E27" s="11">
        <f>$D18*(E8-E$5)/1000000</f>
        <v>-84.691843670348334</v>
      </c>
      <c r="F27" s="11">
        <f>$D18*(F8-F$5)/1000000</f>
        <v>-75.516893939393938</v>
      </c>
      <c r="G27" s="11">
        <f>$D18*(G8-G$5)/1000000</f>
        <v>-73.675018477457499</v>
      </c>
      <c r="H27" s="33" t="s">
        <v>157</v>
      </c>
    </row>
    <row r="28" spans="2:8" x14ac:dyDescent="0.25">
      <c r="C28" s="6" t="s">
        <v>409</v>
      </c>
      <c r="D28" s="11">
        <f>$D19*(D10-D9)/1000000</f>
        <v>-12.353296732323196</v>
      </c>
      <c r="E28" s="11">
        <f>$D19*(E10-E9)/1000000</f>
        <v>-11.430221000069503</v>
      </c>
      <c r="F28" s="11">
        <f>$D19*(F10-F9)/1000000</f>
        <v>-10.010044911610294</v>
      </c>
      <c r="G28" s="11">
        <f>$D19*(G10-G9)/1000000</f>
        <v>-10.010044911610294</v>
      </c>
      <c r="H28" s="33" t="s">
        <v>157</v>
      </c>
    </row>
    <row r="29" spans="2:8" x14ac:dyDescent="0.25">
      <c r="C29" s="6" t="s">
        <v>410</v>
      </c>
      <c r="D29" s="11">
        <f>$D20*(D12-D11)/1000000</f>
        <v>-18.581461706592979</v>
      </c>
      <c r="E29" s="11">
        <f>$D20*(E12-E11)/1000000</f>
        <v>-17.21318350368119</v>
      </c>
      <c r="F29" s="11">
        <f>$D20*(F12-F11)/1000000</f>
        <v>-14.882427302405596</v>
      </c>
      <c r="G29" s="11">
        <f>$D20*(G12-G11)/1000000</f>
        <v>-14.882427302405596</v>
      </c>
      <c r="H29" s="33" t="s">
        <v>157</v>
      </c>
    </row>
    <row r="30" spans="2:8" x14ac:dyDescent="0.25">
      <c r="C30" s="6" t="s">
        <v>411</v>
      </c>
      <c r="D30" s="11">
        <f>$D21*(D14-D13)/1000000</f>
        <v>-32.386547792995039</v>
      </c>
      <c r="E30" s="11">
        <f>$D21*(E14-E13)/1000000</f>
        <v>-30.192675876851705</v>
      </c>
      <c r="F30" s="11">
        <f>$D21*(F14-F13)/1000000</f>
        <v>-27.055099639003487</v>
      </c>
      <c r="G30" s="11">
        <f>$D21*(G14-G13)/1000000</f>
        <v>-27.055099639003487</v>
      </c>
      <c r="H30" s="33" t="s">
        <v>157</v>
      </c>
    </row>
    <row r="31" spans="2:8" ht="15.75" thickBot="1" x14ac:dyDescent="0.3">
      <c r="C31" s="6"/>
      <c r="D31" s="3"/>
      <c r="E31" s="3"/>
      <c r="F31" s="3"/>
      <c r="G31" s="3"/>
      <c r="H31" s="6"/>
    </row>
    <row r="32" spans="2:8" ht="15.75" thickTop="1" x14ac:dyDescent="0.25">
      <c r="C32" s="35" t="s">
        <v>414</v>
      </c>
      <c r="D32" s="35"/>
      <c r="E32" s="35"/>
      <c r="F32" s="92"/>
      <c r="G32" s="92"/>
      <c r="H32" s="97" t="s">
        <v>549</v>
      </c>
    </row>
    <row r="33" spans="3:8" x14ac:dyDescent="0.25">
      <c r="C33" s="6" t="s">
        <v>154</v>
      </c>
      <c r="D33" s="12">
        <f t="shared" ref="D33:G38" si="2">-ROUND(D25,0)</f>
        <v>15</v>
      </c>
      <c r="E33" s="12">
        <f t="shared" si="2"/>
        <v>14</v>
      </c>
      <c r="F33" s="12">
        <f t="shared" si="2"/>
        <v>13</v>
      </c>
      <c r="G33" s="12">
        <f t="shared" si="2"/>
        <v>12</v>
      </c>
      <c r="H33" s="6"/>
    </row>
    <row r="34" spans="3:8" x14ac:dyDescent="0.25">
      <c r="C34" s="156" t="s">
        <v>412</v>
      </c>
      <c r="D34" s="12">
        <f t="shared" si="2"/>
        <v>37</v>
      </c>
      <c r="E34" s="12">
        <f t="shared" si="2"/>
        <v>34</v>
      </c>
      <c r="F34" s="12">
        <f t="shared" si="2"/>
        <v>30</v>
      </c>
      <c r="G34" s="12">
        <f t="shared" si="2"/>
        <v>29</v>
      </c>
      <c r="H34" s="6"/>
    </row>
    <row r="35" spans="3:8" x14ac:dyDescent="0.25">
      <c r="C35" s="6" t="s">
        <v>156</v>
      </c>
      <c r="D35" s="12">
        <f t="shared" si="2"/>
        <v>92</v>
      </c>
      <c r="E35" s="12">
        <f t="shared" si="2"/>
        <v>85</v>
      </c>
      <c r="F35" s="12">
        <f t="shared" si="2"/>
        <v>76</v>
      </c>
      <c r="G35" s="12">
        <f t="shared" si="2"/>
        <v>74</v>
      </c>
      <c r="H35" s="6"/>
    </row>
    <row r="36" spans="3:8" x14ac:dyDescent="0.25">
      <c r="C36" s="6" t="s">
        <v>409</v>
      </c>
      <c r="D36" s="12">
        <f t="shared" si="2"/>
        <v>12</v>
      </c>
      <c r="E36" s="12">
        <f t="shared" si="2"/>
        <v>11</v>
      </c>
      <c r="F36" s="12">
        <f t="shared" si="2"/>
        <v>10</v>
      </c>
      <c r="G36" s="12">
        <f t="shared" si="2"/>
        <v>10</v>
      </c>
      <c r="H36" s="6"/>
    </row>
    <row r="37" spans="3:8" x14ac:dyDescent="0.25">
      <c r="C37" s="6" t="s">
        <v>410</v>
      </c>
      <c r="D37" s="12">
        <f t="shared" si="2"/>
        <v>19</v>
      </c>
      <c r="E37" s="12">
        <f t="shared" si="2"/>
        <v>17</v>
      </c>
      <c r="F37" s="12">
        <f t="shared" si="2"/>
        <v>15</v>
      </c>
      <c r="G37" s="12">
        <f t="shared" si="2"/>
        <v>15</v>
      </c>
      <c r="H37" s="6"/>
    </row>
    <row r="38" spans="3:8" x14ac:dyDescent="0.25">
      <c r="C38" s="6" t="s">
        <v>411</v>
      </c>
      <c r="D38" s="12">
        <f t="shared" si="2"/>
        <v>32</v>
      </c>
      <c r="E38" s="12">
        <f t="shared" si="2"/>
        <v>30</v>
      </c>
      <c r="F38" s="12">
        <f t="shared" si="2"/>
        <v>27</v>
      </c>
      <c r="G38" s="12">
        <f t="shared" si="2"/>
        <v>27</v>
      </c>
      <c r="H38" s="6"/>
    </row>
    <row r="39" spans="3:8" ht="15.75" thickBot="1" x14ac:dyDescent="0.3">
      <c r="C39" s="6"/>
      <c r="D39" s="3"/>
      <c r="E39" s="3"/>
      <c r="F39" s="3"/>
      <c r="G39" s="3"/>
      <c r="H39" s="6"/>
    </row>
    <row r="40" spans="3:8" ht="15.75" thickTop="1" x14ac:dyDescent="0.25">
      <c r="C40" s="35" t="s">
        <v>161</v>
      </c>
      <c r="D40" s="35"/>
      <c r="E40" s="35"/>
      <c r="F40" s="92"/>
      <c r="G40" s="92"/>
      <c r="H40" s="97" t="s">
        <v>162</v>
      </c>
    </row>
    <row r="41" spans="3:8" ht="30" x14ac:dyDescent="0.25">
      <c r="C41" s="6" t="s">
        <v>163</v>
      </c>
      <c r="D41" s="8">
        <v>0.1</v>
      </c>
      <c r="E41" s="8">
        <v>0.3</v>
      </c>
      <c r="F41" s="8">
        <v>0.3</v>
      </c>
      <c r="G41" s="8">
        <v>0.3</v>
      </c>
      <c r="H41" s="6" t="s">
        <v>164</v>
      </c>
    </row>
    <row r="42" spans="3:8" x14ac:dyDescent="0.25">
      <c r="C42" s="6" t="s">
        <v>165</v>
      </c>
      <c r="D42" s="96">
        <f>1/6</f>
        <v>0.16666666666666666</v>
      </c>
      <c r="E42" s="56">
        <f t="shared" ref="E42" si="3">D42</f>
        <v>0.16666666666666666</v>
      </c>
      <c r="F42" s="56">
        <f t="shared" ref="F42" si="4">E42</f>
        <v>0.16666666666666666</v>
      </c>
      <c r="G42" s="56">
        <f t="shared" ref="G42" si="5">F42</f>
        <v>0.16666666666666666</v>
      </c>
      <c r="H42" s="6"/>
    </row>
    <row r="43" spans="3:8" ht="30" x14ac:dyDescent="0.25">
      <c r="C43" s="6" t="s">
        <v>166</v>
      </c>
      <c r="D43" s="7">
        <v>16</v>
      </c>
      <c r="E43" s="7">
        <v>16</v>
      </c>
      <c r="F43" s="7">
        <v>16</v>
      </c>
      <c r="G43" s="7">
        <v>16</v>
      </c>
      <c r="H43" s="6" t="s">
        <v>167</v>
      </c>
    </row>
    <row r="44" spans="3:8" ht="30" x14ac:dyDescent="0.25">
      <c r="C44" s="6" t="s">
        <v>168</v>
      </c>
      <c r="D44" s="4">
        <f>D43*1/D42*D41</f>
        <v>9.6000000000000014</v>
      </c>
      <c r="E44" s="4">
        <f>E43*1/E42*E41</f>
        <v>28.799999999999997</v>
      </c>
      <c r="F44" s="4">
        <f>F43*1/F42*F41</f>
        <v>28.799999999999997</v>
      </c>
      <c r="G44" s="4">
        <f>G43*1/G42*G41</f>
        <v>28.799999999999997</v>
      </c>
      <c r="H44" s="33" t="s">
        <v>169</v>
      </c>
    </row>
    <row r="45" spans="3:8" x14ac:dyDescent="0.25">
      <c r="C45" s="6" t="s">
        <v>170</v>
      </c>
      <c r="D45" s="69">
        <v>0.1</v>
      </c>
      <c r="E45" s="69">
        <v>0.4</v>
      </c>
      <c r="F45" s="69">
        <v>1</v>
      </c>
      <c r="G45" s="69">
        <v>1</v>
      </c>
      <c r="H45" s="33" t="s">
        <v>171</v>
      </c>
    </row>
    <row r="46" spans="3:8" x14ac:dyDescent="0.25">
      <c r="C46" s="6" t="s">
        <v>172</v>
      </c>
      <c r="D46" s="4"/>
      <c r="E46" s="4"/>
      <c r="F46" s="4"/>
      <c r="G46" s="4"/>
      <c r="H46" s="33"/>
    </row>
    <row r="47" spans="3:8" ht="30" x14ac:dyDescent="0.25">
      <c r="C47" s="20" t="s">
        <v>173</v>
      </c>
      <c r="D47" s="4">
        <v>115.6</v>
      </c>
      <c r="E47" s="5">
        <f t="shared" ref="E47:E48" si="6">D47</f>
        <v>115.6</v>
      </c>
      <c r="F47" s="5">
        <f t="shared" ref="F47:F48" si="7">E47</f>
        <v>115.6</v>
      </c>
      <c r="G47" s="5">
        <f t="shared" ref="G47:G48" si="8">F47</f>
        <v>115.6</v>
      </c>
      <c r="H47" s="33" t="s">
        <v>174</v>
      </c>
    </row>
    <row r="48" spans="3:8" ht="30" x14ac:dyDescent="0.25">
      <c r="C48" s="20" t="s">
        <v>175</v>
      </c>
      <c r="D48" s="4">
        <v>62.1</v>
      </c>
      <c r="E48" s="5">
        <f t="shared" si="6"/>
        <v>62.1</v>
      </c>
      <c r="F48" s="5">
        <f t="shared" si="7"/>
        <v>62.1</v>
      </c>
      <c r="G48" s="5">
        <f t="shared" si="8"/>
        <v>62.1</v>
      </c>
      <c r="H48" s="33" t="s">
        <v>176</v>
      </c>
    </row>
    <row r="49" spans="3:8" x14ac:dyDescent="0.25">
      <c r="C49" s="20" t="s">
        <v>177</v>
      </c>
      <c r="D49" s="4">
        <f>D47*(1-D45)+D48*D45</f>
        <v>110.25</v>
      </c>
      <c r="E49" s="4">
        <f t="shared" ref="E49:G49" si="9">E47*(1-E45)+E48*E45</f>
        <v>94.2</v>
      </c>
      <c r="F49" s="4">
        <f t="shared" si="9"/>
        <v>62.1</v>
      </c>
      <c r="G49" s="4">
        <f t="shared" si="9"/>
        <v>62.1</v>
      </c>
      <c r="H49" s="33" t="s">
        <v>178</v>
      </c>
    </row>
    <row r="50" spans="3:8" x14ac:dyDescent="0.25">
      <c r="C50" s="24" t="s">
        <v>179</v>
      </c>
      <c r="D50" s="60">
        <f>D49*136</f>
        <v>14994</v>
      </c>
      <c r="E50" s="60">
        <f t="shared" ref="E50:G50" si="10">E49*136</f>
        <v>12811.2</v>
      </c>
      <c r="F50" s="60">
        <f t="shared" si="10"/>
        <v>8445.6</v>
      </c>
      <c r="G50" s="60">
        <f t="shared" si="10"/>
        <v>8445.6</v>
      </c>
      <c r="H50" s="33" t="s">
        <v>180</v>
      </c>
    </row>
    <row r="51" spans="3:8" x14ac:dyDescent="0.25">
      <c r="C51" s="24" t="s">
        <v>181</v>
      </c>
      <c r="D51" s="4">
        <v>6.8</v>
      </c>
      <c r="E51" s="4">
        <v>7.5</v>
      </c>
      <c r="F51" s="4">
        <v>8.4</v>
      </c>
      <c r="G51" s="4">
        <v>8.5</v>
      </c>
      <c r="H51" s="33" t="s">
        <v>182</v>
      </c>
    </row>
    <row r="52" spans="3:8" x14ac:dyDescent="0.25">
      <c r="C52" s="24" t="s">
        <v>183</v>
      </c>
      <c r="D52" s="4">
        <v>2</v>
      </c>
      <c r="E52" s="5">
        <f t="shared" ref="E52" si="11">D52</f>
        <v>2</v>
      </c>
      <c r="F52" s="5">
        <f t="shared" ref="F52" si="12">E52</f>
        <v>2</v>
      </c>
      <c r="G52" s="5">
        <f t="shared" ref="G52" si="13">F52</f>
        <v>2</v>
      </c>
      <c r="H52" s="33" t="s">
        <v>184</v>
      </c>
    </row>
    <row r="53" spans="3:8" x14ac:dyDescent="0.25">
      <c r="C53" s="24" t="s">
        <v>185</v>
      </c>
      <c r="D53" s="60">
        <f>D50/D51/D52</f>
        <v>1102.5</v>
      </c>
      <c r="E53" s="60">
        <f t="shared" ref="E53:G53" si="14">E50/E51/E52</f>
        <v>854.08</v>
      </c>
      <c r="F53" s="60">
        <f t="shared" si="14"/>
        <v>502.71428571428572</v>
      </c>
      <c r="G53" s="60">
        <f t="shared" si="14"/>
        <v>496.8</v>
      </c>
      <c r="H53" s="33" t="s">
        <v>186</v>
      </c>
    </row>
    <row r="54" spans="3:8" x14ac:dyDescent="0.25">
      <c r="C54" s="6" t="s">
        <v>159</v>
      </c>
      <c r="D54" s="3"/>
      <c r="E54" s="3"/>
      <c r="F54" s="3"/>
      <c r="G54" s="3"/>
      <c r="H54" s="6"/>
    </row>
    <row r="55" spans="3:8" x14ac:dyDescent="0.25">
      <c r="C55" s="20" t="s">
        <v>187</v>
      </c>
      <c r="D55" s="11">
        <f>(D53-D13)*$D21/1000000</f>
        <v>-4.6200852929950402</v>
      </c>
      <c r="E55" s="11">
        <f>(E53-E13)*$D21/1000000</f>
        <v>-8.6826710768517028</v>
      </c>
      <c r="F55" s="11">
        <f>(F53-F13)*$D21/1000000</f>
        <v>-14.394240353289199</v>
      </c>
      <c r="G55" s="11">
        <f>(G53-G13)*$D21/1000000</f>
        <v>-14.543191639003485</v>
      </c>
      <c r="H55" s="33" t="s">
        <v>160</v>
      </c>
    </row>
    <row r="56" spans="3:8" x14ac:dyDescent="0.25">
      <c r="C56" s="20" t="s">
        <v>188</v>
      </c>
      <c r="D56" s="11">
        <f>D44*D55</f>
        <v>-44.352818812752396</v>
      </c>
      <c r="E56" s="11">
        <f t="shared" ref="E56:G56" si="15">E44*E55</f>
        <v>-250.06092701332901</v>
      </c>
      <c r="F56" s="11">
        <f t="shared" si="15"/>
        <v>-414.55412217472889</v>
      </c>
      <c r="G56" s="11">
        <f t="shared" si="15"/>
        <v>-418.84391920330035</v>
      </c>
      <c r="H56" s="33" t="s">
        <v>189</v>
      </c>
    </row>
    <row r="57" spans="3:8" x14ac:dyDescent="0.25">
      <c r="C57" s="6" t="s">
        <v>190</v>
      </c>
      <c r="D57" s="12">
        <f>-ROUND(D56,0)</f>
        <v>44</v>
      </c>
      <c r="E57" s="12">
        <f>-ROUND(E56,0)</f>
        <v>250</v>
      </c>
      <c r="F57" s="12">
        <f>-ROUND(F56,0)</f>
        <v>415</v>
      </c>
      <c r="G57" s="12">
        <f>-ROUND(G56,0)</f>
        <v>419</v>
      </c>
      <c r="H57" s="6"/>
    </row>
    <row r="75" spans="3:3" x14ac:dyDescent="0.25">
      <c r="C75" s="67"/>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F7A23-7FB3-4ACC-A6DB-8C7C2164B258}">
  <dimension ref="A1:H86"/>
  <sheetViews>
    <sheetView zoomScale="110" zoomScaleNormal="110" workbookViewId="0">
      <pane ySplit="3" topLeftCell="A4" activePane="bottomLeft" state="frozen"/>
      <selection pane="bottomLeft" activeCell="H52" sqref="H52"/>
    </sheetView>
  </sheetViews>
  <sheetFormatPr defaultRowHeight="15" x14ac:dyDescent="0.25"/>
  <cols>
    <col min="1" max="1" width="2.5703125" style="169" customWidth="1"/>
    <col min="2" max="2" width="4.42578125" style="3" customWidth="1"/>
    <col min="3" max="3" width="38.28515625" style="2" customWidth="1"/>
    <col min="4" max="7" width="9.7109375" customWidth="1"/>
    <col min="8" max="8" width="51.42578125" style="2" customWidth="1"/>
  </cols>
  <sheetData>
    <row r="1" spans="2:8" ht="15.75" thickTop="1" x14ac:dyDescent="0.25">
      <c r="B1" s="27" t="s">
        <v>127</v>
      </c>
      <c r="C1" s="27"/>
      <c r="D1" s="27"/>
      <c r="E1" s="27"/>
      <c r="F1" s="28"/>
      <c r="G1" s="28"/>
      <c r="H1" s="29"/>
    </row>
    <row r="2" spans="2:8" x14ac:dyDescent="0.25">
      <c r="D2" s="94" t="s">
        <v>1</v>
      </c>
      <c r="E2" s="94"/>
      <c r="F2" s="94"/>
      <c r="G2" s="94"/>
    </row>
    <row r="3" spans="2:8" ht="15.75" thickBot="1" x14ac:dyDescent="0.3">
      <c r="B3" s="65" t="s">
        <v>2</v>
      </c>
      <c r="C3" s="65" t="s">
        <v>3</v>
      </c>
      <c r="D3" s="102">
        <v>2025</v>
      </c>
      <c r="E3" s="102">
        <v>2030</v>
      </c>
      <c r="F3" s="102">
        <v>2040</v>
      </c>
      <c r="G3" s="102">
        <v>2050</v>
      </c>
      <c r="H3" s="65" t="s">
        <v>61</v>
      </c>
    </row>
    <row r="4" spans="2:8" ht="15.75" thickTop="1" x14ac:dyDescent="0.25">
      <c r="B4" s="97"/>
      <c r="C4" s="97" t="s">
        <v>6</v>
      </c>
      <c r="D4" s="97"/>
      <c r="E4" s="97"/>
      <c r="F4" s="95"/>
      <c r="G4" s="95"/>
      <c r="H4" s="95"/>
    </row>
    <row r="5" spans="2:8" x14ac:dyDescent="0.25">
      <c r="B5" s="6" t="s">
        <v>7</v>
      </c>
      <c r="C5" s="6" t="s">
        <v>8</v>
      </c>
      <c r="D5" s="103">
        <f>[1]EF!$U$3</f>
        <v>303.08533863702252</v>
      </c>
      <c r="E5" s="103">
        <f>[1]EF!$Y$3</f>
        <v>255.56920796390125</v>
      </c>
      <c r="F5" s="103">
        <f>[1]EF!$AI$3</f>
        <v>118.73988730201238</v>
      </c>
      <c r="G5" s="103">
        <f>[1]EF!$AS$3</f>
        <v>45.559193755621628</v>
      </c>
      <c r="H5" s="6" t="s">
        <v>9</v>
      </c>
    </row>
    <row r="6" spans="2:8" x14ac:dyDescent="0.25">
      <c r="B6" s="6" t="s">
        <v>191</v>
      </c>
      <c r="C6" s="6" t="s">
        <v>192</v>
      </c>
      <c r="D6" s="104">
        <v>10.5</v>
      </c>
      <c r="E6" s="105"/>
      <c r="F6" s="105"/>
      <c r="G6" s="105"/>
      <c r="H6" s="6" t="s">
        <v>562</v>
      </c>
    </row>
    <row r="7" spans="2:8" x14ac:dyDescent="0.25">
      <c r="B7" s="6" t="s">
        <v>194</v>
      </c>
      <c r="C7" s="24" t="s">
        <v>29</v>
      </c>
      <c r="D7" s="106">
        <v>300</v>
      </c>
      <c r="E7" s="107"/>
      <c r="F7" s="107"/>
      <c r="G7" s="107"/>
      <c r="H7" s="6"/>
    </row>
    <row r="8" spans="2:8" x14ac:dyDescent="0.25">
      <c r="B8" s="6"/>
      <c r="C8" s="57" t="s">
        <v>195</v>
      </c>
      <c r="D8" s="6"/>
      <c r="E8" s="107"/>
      <c r="F8" s="107"/>
      <c r="G8" s="107"/>
      <c r="H8" s="33"/>
    </row>
    <row r="9" spans="2:8" x14ac:dyDescent="0.25">
      <c r="B9" s="6" t="s">
        <v>196</v>
      </c>
      <c r="C9" s="87" t="s">
        <v>158</v>
      </c>
      <c r="D9" s="103">
        <v>10450</v>
      </c>
      <c r="E9" s="107"/>
      <c r="F9" s="107"/>
      <c r="G9" s="107"/>
      <c r="H9" s="33" t="str">
        <f>Electrification!H18</f>
        <v>CDOT (2021)</v>
      </c>
    </row>
    <row r="10" spans="2:8" x14ac:dyDescent="0.25">
      <c r="B10" s="6" t="s">
        <v>197</v>
      </c>
      <c r="C10" s="20" t="s">
        <v>198</v>
      </c>
      <c r="D10" s="108">
        <v>19642</v>
      </c>
      <c r="E10" s="107"/>
      <c r="F10" s="107"/>
      <c r="G10" s="107"/>
      <c r="H10" s="6" t="s">
        <v>199</v>
      </c>
    </row>
    <row r="11" spans="2:8" x14ac:dyDescent="0.25">
      <c r="B11" s="6" t="s">
        <v>200</v>
      </c>
      <c r="C11" s="20" t="s">
        <v>201</v>
      </c>
      <c r="D11" s="108">
        <f>12.8*2*250</f>
        <v>6400</v>
      </c>
      <c r="E11" s="107"/>
      <c r="F11" s="107"/>
      <c r="G11" s="107"/>
      <c r="H11" s="6" t="s">
        <v>202</v>
      </c>
    </row>
    <row r="12" spans="2:8" x14ac:dyDescent="0.25">
      <c r="B12" s="6"/>
      <c r="C12" s="24"/>
      <c r="D12" s="65"/>
      <c r="E12" s="65"/>
      <c r="F12" s="65"/>
      <c r="G12" s="65"/>
      <c r="H12" s="6"/>
    </row>
    <row r="13" spans="2:8" ht="15.75" thickBot="1" x14ac:dyDescent="0.3">
      <c r="B13" s="65"/>
      <c r="C13" s="109" t="s">
        <v>203</v>
      </c>
      <c r="D13" s="99"/>
      <c r="E13" s="99"/>
      <c r="F13" s="99"/>
      <c r="G13" s="99"/>
      <c r="H13" s="99" t="s">
        <v>551</v>
      </c>
    </row>
    <row r="14" spans="2:8" x14ac:dyDescent="0.25">
      <c r="B14" s="65"/>
      <c r="C14" s="57" t="s">
        <v>204</v>
      </c>
      <c r="D14" s="110">
        <v>-0.12</v>
      </c>
      <c r="E14" s="111"/>
      <c r="F14" s="111"/>
      <c r="G14" s="111"/>
      <c r="H14" s="6" t="s">
        <v>205</v>
      </c>
    </row>
    <row r="15" spans="2:8" x14ac:dyDescent="0.25">
      <c r="B15" s="65"/>
      <c r="C15" s="57" t="s">
        <v>206</v>
      </c>
      <c r="D15" s="112">
        <v>3.11</v>
      </c>
      <c r="E15" s="113"/>
      <c r="F15" s="113"/>
      <c r="G15" s="113"/>
      <c r="H15" s="6" t="s">
        <v>207</v>
      </c>
    </row>
    <row r="16" spans="2:8" x14ac:dyDescent="0.25">
      <c r="B16" s="65"/>
      <c r="C16" s="57" t="s">
        <v>208</v>
      </c>
      <c r="D16" s="114">
        <v>23.8</v>
      </c>
      <c r="E16" s="107"/>
      <c r="F16" s="107"/>
      <c r="G16" s="107"/>
      <c r="H16" s="6" t="s">
        <v>209</v>
      </c>
    </row>
    <row r="17" spans="2:8" x14ac:dyDescent="0.25">
      <c r="B17" s="65"/>
      <c r="C17" s="57" t="s">
        <v>210</v>
      </c>
      <c r="D17" s="115">
        <f>1/D6</f>
        <v>9.5238095238095233E-2</v>
      </c>
      <c r="E17" s="107"/>
      <c r="F17" s="107"/>
      <c r="G17" s="107"/>
      <c r="H17" s="6" t="s">
        <v>211</v>
      </c>
    </row>
    <row r="18" spans="2:8" x14ac:dyDescent="0.25">
      <c r="B18" s="65"/>
      <c r="C18" s="57" t="s">
        <v>212</v>
      </c>
      <c r="D18" s="115">
        <f>D17*D16</f>
        <v>2.2666666666666666</v>
      </c>
      <c r="E18" s="107"/>
      <c r="F18" s="107"/>
      <c r="G18" s="107"/>
      <c r="H18" s="33" t="s">
        <v>213</v>
      </c>
    </row>
    <row r="19" spans="2:8" ht="30" x14ac:dyDescent="0.25">
      <c r="B19" s="65"/>
      <c r="C19" s="57" t="s">
        <v>214</v>
      </c>
      <c r="D19" s="116">
        <v>0</v>
      </c>
      <c r="E19" s="107"/>
      <c r="F19" s="107"/>
      <c r="G19" s="107"/>
      <c r="H19" s="6" t="s">
        <v>215</v>
      </c>
    </row>
    <row r="20" spans="2:8" x14ac:dyDescent="0.25">
      <c r="B20" s="65"/>
      <c r="C20" s="57" t="s">
        <v>216</v>
      </c>
      <c r="D20" s="117">
        <f>(D18/D15)*D14*(1-D19)</f>
        <v>-8.7459807073954982E-2</v>
      </c>
      <c r="E20" s="107"/>
      <c r="F20" s="107"/>
      <c r="G20" s="107"/>
      <c r="H20" s="33" t="s">
        <v>217</v>
      </c>
    </row>
    <row r="21" spans="2:8" ht="30" x14ac:dyDescent="0.25">
      <c r="B21" s="65"/>
      <c r="C21" s="57" t="s">
        <v>218</v>
      </c>
      <c r="D21" s="118">
        <v>2</v>
      </c>
      <c r="E21" s="107"/>
      <c r="F21" s="107"/>
      <c r="G21" s="107"/>
      <c r="H21" s="6" t="s">
        <v>219</v>
      </c>
    </row>
    <row r="22" spans="2:8" x14ac:dyDescent="0.25">
      <c r="B22" s="6"/>
      <c r="C22" s="57" t="s">
        <v>220</v>
      </c>
      <c r="D22" s="119">
        <f>D6*D21*D7*D20</f>
        <v>-550.99678456591641</v>
      </c>
      <c r="E22" s="120">
        <f>D22</f>
        <v>-550.99678456591641</v>
      </c>
      <c r="F22" s="120">
        <f>E22</f>
        <v>-550.99678456591641</v>
      </c>
      <c r="G22" s="120">
        <f>F22</f>
        <v>-550.99678456591641</v>
      </c>
      <c r="H22" s="6"/>
    </row>
    <row r="23" spans="2:8" ht="30" x14ac:dyDescent="0.25">
      <c r="B23" s="6"/>
      <c r="C23" s="57" t="s">
        <v>550</v>
      </c>
      <c r="D23" s="114">
        <f>D22*D$5*1000/1000000</f>
        <v>-166.99904703807132</v>
      </c>
      <c r="E23" s="114">
        <f t="shared" ref="E23:G23" si="0">E22*E$5*1000/1000000</f>
        <v>-140.81781182216761</v>
      </c>
      <c r="F23" s="114">
        <f t="shared" si="0"/>
        <v>-65.425296103128105</v>
      </c>
      <c r="G23" s="114">
        <f t="shared" si="0"/>
        <v>-25.102969266763093</v>
      </c>
      <c r="H23" s="33" t="s">
        <v>221</v>
      </c>
    </row>
    <row r="24" spans="2:8" x14ac:dyDescent="0.25">
      <c r="B24" s="6"/>
      <c r="C24" s="19" t="s">
        <v>552</v>
      </c>
      <c r="D24" s="121">
        <f>IF(D23&gt;0,"NA",-ROUND(D23,0))</f>
        <v>167</v>
      </c>
      <c r="E24" s="121">
        <f t="shared" ref="E24:G24" si="1">IF(E23&gt;0,"NA",-ROUND(E23,0))</f>
        <v>141</v>
      </c>
      <c r="F24" s="121">
        <f t="shared" si="1"/>
        <v>65</v>
      </c>
      <c r="G24" s="121">
        <f t="shared" si="1"/>
        <v>25</v>
      </c>
      <c r="H24" s="6"/>
    </row>
    <row r="25" spans="2:8" x14ac:dyDescent="0.25">
      <c r="B25" s="6"/>
      <c r="C25" s="57"/>
      <c r="D25" s="114"/>
      <c r="E25" s="114"/>
      <c r="F25" s="114"/>
      <c r="G25" s="114"/>
      <c r="H25" s="6"/>
    </row>
    <row r="26" spans="2:8" ht="15.75" thickBot="1" x14ac:dyDescent="0.3">
      <c r="B26" s="65"/>
      <c r="C26" s="109" t="s">
        <v>222</v>
      </c>
      <c r="D26" s="99"/>
      <c r="E26" s="99"/>
      <c r="F26" s="99"/>
      <c r="G26" s="99"/>
      <c r="H26" s="99" t="s">
        <v>561</v>
      </c>
    </row>
    <row r="27" spans="2:8" x14ac:dyDescent="0.25">
      <c r="B27" s="65"/>
      <c r="C27" s="57" t="s">
        <v>223</v>
      </c>
      <c r="D27" s="122">
        <v>1200</v>
      </c>
      <c r="E27" s="111"/>
      <c r="F27" s="111"/>
      <c r="G27" s="111"/>
      <c r="H27" s="33" t="s">
        <v>224</v>
      </c>
    </row>
    <row r="28" spans="2:8" x14ac:dyDescent="0.25">
      <c r="B28" s="65"/>
      <c r="C28" s="57" t="s">
        <v>225</v>
      </c>
      <c r="D28" s="123">
        <v>9666</v>
      </c>
      <c r="E28" s="113"/>
      <c r="F28" s="113"/>
      <c r="G28" s="113"/>
      <c r="H28" s="6" t="s">
        <v>226</v>
      </c>
    </row>
    <row r="29" spans="2:8" ht="30" x14ac:dyDescent="0.25">
      <c r="B29" s="65"/>
      <c r="C29" s="57" t="s">
        <v>227</v>
      </c>
      <c r="D29" s="114">
        <v>-0.4</v>
      </c>
      <c r="E29" s="107"/>
      <c r="F29" s="107"/>
      <c r="G29" s="107"/>
      <c r="H29" s="6" t="s">
        <v>228</v>
      </c>
    </row>
    <row r="30" spans="2:8" ht="30" x14ac:dyDescent="0.25">
      <c r="B30" s="65"/>
      <c r="C30" s="57" t="s">
        <v>229</v>
      </c>
      <c r="D30" s="124">
        <v>1.01</v>
      </c>
      <c r="E30" s="107"/>
      <c r="F30" s="107"/>
      <c r="G30" s="107"/>
      <c r="H30" s="6" t="s">
        <v>230</v>
      </c>
    </row>
    <row r="31" spans="2:8" ht="30" x14ac:dyDescent="0.25">
      <c r="B31" s="65"/>
      <c r="C31" s="57" t="s">
        <v>231</v>
      </c>
      <c r="D31" s="125">
        <f>(D27/D28)*D29*D30</f>
        <v>-5.0155183116076973E-2</v>
      </c>
      <c r="E31" s="107"/>
      <c r="F31" s="107"/>
      <c r="G31" s="107"/>
      <c r="H31" s="33" t="s">
        <v>232</v>
      </c>
    </row>
    <row r="32" spans="2:8" ht="30" x14ac:dyDescent="0.25">
      <c r="B32" s="6"/>
      <c r="C32" s="57" t="s">
        <v>233</v>
      </c>
      <c r="D32" s="119">
        <f>D9*D31</f>
        <v>-524.1216635630044</v>
      </c>
      <c r="E32" s="120">
        <f>D32</f>
        <v>-524.1216635630044</v>
      </c>
      <c r="F32" s="120">
        <f>E32</f>
        <v>-524.1216635630044</v>
      </c>
      <c r="G32" s="120">
        <f>F32</f>
        <v>-524.1216635630044</v>
      </c>
      <c r="H32" s="33" t="s">
        <v>234</v>
      </c>
    </row>
    <row r="33" spans="2:8" ht="30" x14ac:dyDescent="0.25">
      <c r="B33" s="6"/>
      <c r="C33" s="57" t="s">
        <v>557</v>
      </c>
      <c r="D33" s="114">
        <f>D32*D$5*1000/1000000</f>
        <v>-158.85359188799276</v>
      </c>
      <c r="E33" s="114">
        <f t="shared" ref="E33:G33" si="2">E32*E$5*1000/1000000</f>
        <v>-133.94935843351934</v>
      </c>
      <c r="F33" s="114">
        <f t="shared" si="2"/>
        <v>-62.234147264014396</v>
      </c>
      <c r="G33" s="114">
        <f t="shared" si="2"/>
        <v>-23.87856042178565</v>
      </c>
      <c r="H33" s="33" t="s">
        <v>221</v>
      </c>
    </row>
    <row r="34" spans="2:8" ht="30" x14ac:dyDescent="0.25">
      <c r="B34" s="6"/>
      <c r="C34" s="19" t="s">
        <v>553</v>
      </c>
      <c r="D34" s="121">
        <f>IF(D33&gt;0,"NA",-ROUND(D33,0))</f>
        <v>159</v>
      </c>
      <c r="E34" s="121">
        <f t="shared" ref="E34:G34" si="3">IF(E33&gt;0,"NA",-ROUND(E33,0))</f>
        <v>134</v>
      </c>
      <c r="F34" s="121">
        <f t="shared" si="3"/>
        <v>62</v>
      </c>
      <c r="G34" s="121">
        <f t="shared" si="3"/>
        <v>24</v>
      </c>
      <c r="H34" s="126"/>
    </row>
    <row r="35" spans="2:8" x14ac:dyDescent="0.25">
      <c r="B35" s="6"/>
      <c r="C35" s="57"/>
      <c r="D35" s="114"/>
      <c r="E35" s="114"/>
      <c r="F35" s="114"/>
      <c r="G35" s="114"/>
      <c r="H35" s="6"/>
    </row>
    <row r="36" spans="2:8" ht="45.75" hidden="1" thickBot="1" x14ac:dyDescent="0.3">
      <c r="B36" s="6"/>
      <c r="C36" s="109" t="s">
        <v>235</v>
      </c>
      <c r="D36" s="99"/>
      <c r="E36" s="99"/>
      <c r="F36" s="99"/>
      <c r="G36" s="99"/>
      <c r="H36" s="99" t="s">
        <v>554</v>
      </c>
    </row>
    <row r="37" spans="2:8" ht="45" hidden="1" x14ac:dyDescent="0.25">
      <c r="B37" s="6"/>
      <c r="C37" s="6" t="s">
        <v>236</v>
      </c>
      <c r="D37" s="127">
        <v>-0.37</v>
      </c>
      <c r="E37" s="111"/>
      <c r="F37" s="111"/>
      <c r="G37" s="111"/>
      <c r="H37" s="6" t="s">
        <v>237</v>
      </c>
    </row>
    <row r="38" spans="2:8" ht="30" hidden="1" x14ac:dyDescent="0.25">
      <c r="B38" s="6"/>
      <c r="C38" s="6" t="s">
        <v>238</v>
      </c>
      <c r="D38" s="117">
        <f>5774/19642</f>
        <v>0.29396191833825475</v>
      </c>
      <c r="E38" s="111"/>
      <c r="F38" s="111"/>
      <c r="G38" s="111"/>
      <c r="H38" s="6" t="s">
        <v>349</v>
      </c>
    </row>
    <row r="39" spans="2:8" ht="30" hidden="1" x14ac:dyDescent="0.25">
      <c r="B39" s="6"/>
      <c r="C39" s="6" t="s">
        <v>239</v>
      </c>
      <c r="D39" s="117">
        <f>D37*D38</f>
        <v>-0.10876590978515426</v>
      </c>
      <c r="E39" s="111"/>
      <c r="F39" s="111"/>
      <c r="G39" s="111"/>
      <c r="H39" s="33" t="s">
        <v>240</v>
      </c>
    </row>
    <row r="40" spans="2:8" hidden="1" x14ac:dyDescent="0.25">
      <c r="B40" s="6"/>
      <c r="C40" s="57" t="s">
        <v>241</v>
      </c>
      <c r="D40" s="103">
        <f>D10*D39</f>
        <v>-2136.3799999999997</v>
      </c>
      <c r="E40" s="120">
        <f>D40</f>
        <v>-2136.3799999999997</v>
      </c>
      <c r="F40" s="120">
        <f>E40</f>
        <v>-2136.3799999999997</v>
      </c>
      <c r="G40" s="120">
        <f>F40</f>
        <v>-2136.3799999999997</v>
      </c>
      <c r="H40" s="33" t="s">
        <v>242</v>
      </c>
    </row>
    <row r="41" spans="2:8" hidden="1" x14ac:dyDescent="0.25">
      <c r="B41" s="6"/>
      <c r="C41" s="57" t="s">
        <v>556</v>
      </c>
      <c r="D41" s="114">
        <f>D40*D$5*1000/1000000</f>
        <v>-647.50545575736214</v>
      </c>
      <c r="E41" s="114">
        <f t="shared" ref="E41:G41" si="4">E40*E$5*1000/1000000</f>
        <v>-545.99294450991931</v>
      </c>
      <c r="F41" s="114">
        <f t="shared" si="4"/>
        <v>-253.67352043427317</v>
      </c>
      <c r="G41" s="114">
        <f t="shared" si="4"/>
        <v>-97.33175035563491</v>
      </c>
      <c r="H41" s="33" t="s">
        <v>221</v>
      </c>
    </row>
    <row r="42" spans="2:8" hidden="1" x14ac:dyDescent="0.25">
      <c r="B42" s="6"/>
      <c r="C42" s="19" t="s">
        <v>555</v>
      </c>
      <c r="D42" s="121">
        <f>IF(D41&gt;0,"NA",-ROUND(D41,0))</f>
        <v>648</v>
      </c>
      <c r="E42" s="121">
        <f t="shared" ref="E42:G42" si="5">IF(E41&gt;0,"NA",-ROUND(E41,0))</f>
        <v>546</v>
      </c>
      <c r="F42" s="121">
        <f t="shared" si="5"/>
        <v>254</v>
      </c>
      <c r="G42" s="121">
        <f t="shared" si="5"/>
        <v>97</v>
      </c>
      <c r="H42" s="126"/>
    </row>
    <row r="43" spans="2:8" hidden="1" x14ac:dyDescent="0.25">
      <c r="B43" s="6"/>
      <c r="C43" s="6"/>
      <c r="D43" s="6"/>
      <c r="E43" s="6"/>
      <c r="F43" s="6"/>
      <c r="G43" s="6"/>
      <c r="H43" s="6"/>
    </row>
    <row r="44" spans="2:8" ht="45.75" hidden="1" thickBot="1" x14ac:dyDescent="0.3">
      <c r="B44" s="6"/>
      <c r="C44" s="128" t="s">
        <v>243</v>
      </c>
      <c r="D44" s="100"/>
      <c r="E44" s="100"/>
      <c r="F44" s="100"/>
      <c r="G44" s="100"/>
      <c r="H44" s="100" t="s">
        <v>244</v>
      </c>
    </row>
    <row r="45" spans="2:8" ht="30" hidden="1" x14ac:dyDescent="0.25">
      <c r="B45" s="6"/>
      <c r="C45" s="101" t="s">
        <v>245</v>
      </c>
      <c r="D45" s="129">
        <f>D37</f>
        <v>-0.37</v>
      </c>
      <c r="E45" s="101"/>
      <c r="F45" s="101"/>
      <c r="G45" s="101"/>
      <c r="H45" s="101" t="s">
        <v>246</v>
      </c>
    </row>
    <row r="46" spans="2:8" ht="30" hidden="1" x14ac:dyDescent="0.25">
      <c r="B46" s="6"/>
      <c r="C46" s="101" t="s">
        <v>247</v>
      </c>
      <c r="D46" s="130">
        <f>D11*D45</f>
        <v>-2368</v>
      </c>
      <c r="E46" s="101"/>
      <c r="F46" s="101"/>
      <c r="G46" s="101"/>
      <c r="H46" s="131" t="s">
        <v>248</v>
      </c>
    </row>
    <row r="47" spans="2:8" hidden="1" x14ac:dyDescent="0.25">
      <c r="B47" s="6"/>
      <c r="C47" s="101" t="s">
        <v>249</v>
      </c>
      <c r="D47" s="101">
        <v>4</v>
      </c>
      <c r="E47" s="101"/>
      <c r="F47" s="101"/>
      <c r="G47" s="101"/>
      <c r="H47" s="101" t="s">
        <v>250</v>
      </c>
    </row>
    <row r="48" spans="2:8" hidden="1" x14ac:dyDescent="0.25">
      <c r="B48" s="6"/>
      <c r="C48" s="101" t="s">
        <v>251</v>
      </c>
      <c r="D48" s="130">
        <f>D46*D47</f>
        <v>-9472</v>
      </c>
      <c r="E48" s="132">
        <f>D48</f>
        <v>-9472</v>
      </c>
      <c r="F48" s="132">
        <f>E48</f>
        <v>-9472</v>
      </c>
      <c r="G48" s="132">
        <f>F48</f>
        <v>-9472</v>
      </c>
      <c r="H48" s="101"/>
    </row>
    <row r="49" spans="2:8" ht="30" hidden="1" x14ac:dyDescent="0.25">
      <c r="B49" s="6"/>
      <c r="C49" s="88" t="s">
        <v>252</v>
      </c>
      <c r="D49" s="133">
        <f>D48*D$5/1000</f>
        <v>-2870.8243275698774</v>
      </c>
      <c r="E49" s="133">
        <f>E48*E$5/1000</f>
        <v>-2420.7515378340727</v>
      </c>
      <c r="F49" s="133">
        <f>F48*F$5/1000</f>
        <v>-1124.7042125246612</v>
      </c>
      <c r="G49" s="133">
        <f>G48*G$5/1000</f>
        <v>-431.53668325324804</v>
      </c>
      <c r="H49" s="101"/>
    </row>
    <row r="50" spans="2:8" hidden="1" x14ac:dyDescent="0.25">
      <c r="B50" s="6"/>
      <c r="C50" s="89" t="s">
        <v>253</v>
      </c>
      <c r="D50" s="134">
        <f>IF(D49&gt;0,"NA",-ROUND(D49,0))</f>
        <v>2871</v>
      </c>
      <c r="E50" s="134">
        <f t="shared" ref="E50:G50" si="6">IF(E49&gt;0,"NA",-ROUND(E49,0))</f>
        <v>2421</v>
      </c>
      <c r="F50" s="134">
        <f t="shared" si="6"/>
        <v>1125</v>
      </c>
      <c r="G50" s="134">
        <f t="shared" si="6"/>
        <v>432</v>
      </c>
      <c r="H50" s="101"/>
    </row>
    <row r="51" spans="2:8" hidden="1" x14ac:dyDescent="0.25"/>
    <row r="52" spans="2:8" ht="30.75" thickBot="1" x14ac:dyDescent="0.3">
      <c r="B52" s="6"/>
      <c r="C52" s="109" t="s">
        <v>597</v>
      </c>
      <c r="D52" s="99"/>
      <c r="E52" s="99"/>
      <c r="F52" s="99"/>
      <c r="G52" s="99"/>
      <c r="H52" s="99" t="s">
        <v>554</v>
      </c>
    </row>
    <row r="53" spans="2:8" x14ac:dyDescent="0.25">
      <c r="B53" s="6"/>
      <c r="C53" s="135" t="s">
        <v>598</v>
      </c>
      <c r="D53" s="103"/>
      <c r="E53" s="120"/>
      <c r="F53" s="120"/>
      <c r="G53" s="120"/>
      <c r="H53" s="33"/>
    </row>
    <row r="54" spans="2:8" ht="45" x14ac:dyDescent="0.25">
      <c r="B54" s="6"/>
      <c r="C54" s="87" t="s">
        <v>599</v>
      </c>
      <c r="D54" s="103">
        <v>-4500</v>
      </c>
      <c r="E54" s="120"/>
      <c r="F54" s="120"/>
      <c r="G54" s="120"/>
      <c r="H54" s="33" t="s">
        <v>606</v>
      </c>
    </row>
    <row r="55" spans="2:8" ht="30" x14ac:dyDescent="0.25">
      <c r="B55" s="6"/>
      <c r="C55" s="87" t="s">
        <v>601</v>
      </c>
      <c r="D55" s="103">
        <v>-4700</v>
      </c>
      <c r="E55" s="120"/>
      <c r="F55" s="120"/>
      <c r="G55" s="120"/>
      <c r="H55" s="33" t="s">
        <v>605</v>
      </c>
    </row>
    <row r="56" spans="2:8" x14ac:dyDescent="0.25">
      <c r="B56" s="6"/>
      <c r="C56" s="87" t="s">
        <v>600</v>
      </c>
      <c r="D56" s="103">
        <v>-5400</v>
      </c>
      <c r="E56" s="120"/>
      <c r="F56" s="120"/>
      <c r="G56" s="120"/>
      <c r="H56" s="33"/>
    </row>
    <row r="57" spans="2:8" x14ac:dyDescent="0.25">
      <c r="B57" s="6"/>
      <c r="C57" s="57" t="s">
        <v>556</v>
      </c>
      <c r="D57" s="114"/>
      <c r="E57" s="114"/>
      <c r="F57" s="114"/>
      <c r="G57" s="114"/>
      <c r="H57" s="33" t="s">
        <v>221</v>
      </c>
    </row>
    <row r="58" spans="2:8" x14ac:dyDescent="0.25">
      <c r="B58" s="6"/>
      <c r="C58" s="87" t="s">
        <v>599</v>
      </c>
      <c r="D58" s="103">
        <f>$D54*D$5*1000/1000000</f>
        <v>-1363.8840238666012</v>
      </c>
      <c r="E58" s="103">
        <f t="shared" ref="E58:G58" si="7">$D54*E$5*1000/1000000</f>
        <v>-1150.0614358375556</v>
      </c>
      <c r="F58" s="103">
        <f t="shared" si="7"/>
        <v>-534.32949285905579</v>
      </c>
      <c r="G58" s="103">
        <f t="shared" si="7"/>
        <v>-205.01637190029732</v>
      </c>
      <c r="H58" s="33"/>
    </row>
    <row r="59" spans="2:8" x14ac:dyDescent="0.25">
      <c r="B59" s="6"/>
      <c r="C59" s="87" t="s">
        <v>601</v>
      </c>
      <c r="D59" s="103">
        <f t="shared" ref="D59:G59" si="8">$D55*D$5*1000/1000000</f>
        <v>-1424.5010915940059</v>
      </c>
      <c r="E59" s="103">
        <f t="shared" si="8"/>
        <v>-1201.1752774303357</v>
      </c>
      <c r="F59" s="103">
        <f t="shared" si="8"/>
        <v>-558.07747031945814</v>
      </c>
      <c r="G59" s="103">
        <f t="shared" si="8"/>
        <v>-214.12821065142165</v>
      </c>
      <c r="H59" s="33"/>
    </row>
    <row r="60" spans="2:8" x14ac:dyDescent="0.25">
      <c r="B60" s="6"/>
      <c r="C60" s="87" t="s">
        <v>600</v>
      </c>
      <c r="D60" s="103">
        <f t="shared" ref="D60:G60" si="9">$D56*D$5*1000/1000000</f>
        <v>-1636.6608286399214</v>
      </c>
      <c r="E60" s="103">
        <f t="shared" si="9"/>
        <v>-1380.0737230050668</v>
      </c>
      <c r="F60" s="103">
        <f t="shared" si="9"/>
        <v>-641.19539143086683</v>
      </c>
      <c r="G60" s="103">
        <f t="shared" si="9"/>
        <v>-246.0196462803568</v>
      </c>
      <c r="H60" s="33"/>
    </row>
    <row r="61" spans="2:8" x14ac:dyDescent="0.25">
      <c r="B61" s="6"/>
      <c r="C61" s="188" t="s">
        <v>555</v>
      </c>
      <c r="D61" s="189"/>
      <c r="E61" s="189"/>
      <c r="F61" s="189"/>
      <c r="G61" s="189"/>
      <c r="H61" s="126"/>
    </row>
    <row r="62" spans="2:8" x14ac:dyDescent="0.25">
      <c r="C62" s="190" t="s">
        <v>599</v>
      </c>
      <c r="D62" s="191">
        <f t="shared" ref="D62:G62" si="10">IF(D58&gt;0,"NA",-ROUND(D58,0))</f>
        <v>1364</v>
      </c>
      <c r="E62" s="191">
        <f t="shared" si="10"/>
        <v>1150</v>
      </c>
      <c r="F62" s="191">
        <f t="shared" si="10"/>
        <v>534</v>
      </c>
      <c r="G62" s="191">
        <f t="shared" si="10"/>
        <v>205</v>
      </c>
    </row>
    <row r="63" spans="2:8" x14ac:dyDescent="0.25">
      <c r="C63" s="190" t="s">
        <v>601</v>
      </c>
      <c r="D63" s="191">
        <f t="shared" ref="D63:G63" si="11">IF(D59&gt;0,"NA",-ROUND(D59,0))</f>
        <v>1425</v>
      </c>
      <c r="E63" s="191">
        <f t="shared" si="11"/>
        <v>1201</v>
      </c>
      <c r="F63" s="191">
        <f t="shared" si="11"/>
        <v>558</v>
      </c>
      <c r="G63" s="191">
        <f t="shared" si="11"/>
        <v>214</v>
      </c>
    </row>
    <row r="64" spans="2:8" x14ac:dyDescent="0.25">
      <c r="C64" s="190" t="s">
        <v>600</v>
      </c>
      <c r="D64" s="191">
        <f t="shared" ref="D64:G64" si="12">IF(D60&gt;0,"NA",-ROUND(D60,0))</f>
        <v>1637</v>
      </c>
      <c r="E64" s="191">
        <f t="shared" si="12"/>
        <v>1380</v>
      </c>
      <c r="F64" s="191">
        <f t="shared" si="12"/>
        <v>641</v>
      </c>
      <c r="G64" s="191">
        <f t="shared" si="12"/>
        <v>246</v>
      </c>
    </row>
    <row r="66" spans="3:8" ht="30.75" thickBot="1" x14ac:dyDescent="0.3">
      <c r="C66" s="109" t="s">
        <v>603</v>
      </c>
      <c r="D66" s="99"/>
      <c r="E66" s="99"/>
      <c r="F66" s="99"/>
      <c r="G66" s="99"/>
      <c r="H66" s="99" t="s">
        <v>554</v>
      </c>
    </row>
    <row r="67" spans="3:8" x14ac:dyDescent="0.25">
      <c r="C67" s="57" t="s">
        <v>241</v>
      </c>
      <c r="D67" s="103"/>
      <c r="E67" s="120"/>
      <c r="F67" s="120"/>
      <c r="G67" s="120"/>
      <c r="H67" s="33"/>
    </row>
    <row r="68" spans="3:8" ht="30" x14ac:dyDescent="0.25">
      <c r="C68" s="87" t="s">
        <v>599</v>
      </c>
      <c r="D68" s="103">
        <f>D54/2</f>
        <v>-2250</v>
      </c>
      <c r="E68" s="120"/>
      <c r="F68" s="120"/>
      <c r="G68" s="120"/>
      <c r="H68" s="33" t="s">
        <v>602</v>
      </c>
    </row>
    <row r="69" spans="3:8" ht="30" x14ac:dyDescent="0.25">
      <c r="C69" s="87" t="s">
        <v>601</v>
      </c>
      <c r="D69" s="103">
        <f t="shared" ref="D69:D70" si="13">D55/2</f>
        <v>-2350</v>
      </c>
      <c r="E69" s="120"/>
      <c r="F69" s="120"/>
      <c r="G69" s="120"/>
      <c r="H69" s="33" t="s">
        <v>604</v>
      </c>
    </row>
    <row r="70" spans="3:8" x14ac:dyDescent="0.25">
      <c r="C70" s="87" t="s">
        <v>600</v>
      </c>
      <c r="D70" s="103">
        <f t="shared" si="13"/>
        <v>-2700</v>
      </c>
      <c r="E70" s="120"/>
      <c r="F70" s="120"/>
      <c r="G70" s="120"/>
      <c r="H70" s="33"/>
    </row>
    <row r="71" spans="3:8" x14ac:dyDescent="0.25">
      <c r="C71" s="57" t="s">
        <v>556</v>
      </c>
      <c r="D71" s="114"/>
      <c r="E71" s="114"/>
      <c r="F71" s="114"/>
      <c r="G71" s="114"/>
      <c r="H71" s="33" t="s">
        <v>221</v>
      </c>
    </row>
    <row r="72" spans="3:8" x14ac:dyDescent="0.25">
      <c r="C72" s="87" t="s">
        <v>599</v>
      </c>
      <c r="D72" s="103">
        <f>$D68*D$5*1000/1000000</f>
        <v>-681.94201193330059</v>
      </c>
      <c r="E72" s="103">
        <f t="shared" ref="E72:G72" si="14">$D68*E$5*1000/1000000</f>
        <v>-575.03071791877778</v>
      </c>
      <c r="F72" s="103">
        <f t="shared" si="14"/>
        <v>-267.1647464295279</v>
      </c>
      <c r="G72" s="103">
        <f t="shared" si="14"/>
        <v>-102.50818595014866</v>
      </c>
      <c r="H72" s="33"/>
    </row>
    <row r="73" spans="3:8" x14ac:dyDescent="0.25">
      <c r="C73" s="87" t="s">
        <v>601</v>
      </c>
      <c r="D73" s="103">
        <f t="shared" ref="D73:G73" si="15">$D69*D$5*1000/1000000</f>
        <v>-712.25054579700293</v>
      </c>
      <c r="E73" s="103">
        <f t="shared" si="15"/>
        <v>-600.58763871516783</v>
      </c>
      <c r="F73" s="103">
        <f t="shared" si="15"/>
        <v>-279.03873515972907</v>
      </c>
      <c r="G73" s="103">
        <f t="shared" si="15"/>
        <v>-107.06410532571083</v>
      </c>
      <c r="H73" s="33"/>
    </row>
    <row r="74" spans="3:8" x14ac:dyDescent="0.25">
      <c r="C74" s="87" t="s">
        <v>600</v>
      </c>
      <c r="D74" s="103">
        <f t="shared" ref="D74:G74" si="16">$D70*D$5*1000/1000000</f>
        <v>-818.33041431996071</v>
      </c>
      <c r="E74" s="103">
        <f t="shared" si="16"/>
        <v>-690.03686150253338</v>
      </c>
      <c r="F74" s="103">
        <f t="shared" si="16"/>
        <v>-320.59769571543342</v>
      </c>
      <c r="G74" s="103">
        <f t="shared" si="16"/>
        <v>-123.0098231401784</v>
      </c>
      <c r="H74" s="33"/>
    </row>
    <row r="75" spans="3:8" x14ac:dyDescent="0.25">
      <c r="C75" s="188" t="s">
        <v>555</v>
      </c>
      <c r="D75" s="189"/>
      <c r="E75" s="189"/>
      <c r="F75" s="189"/>
      <c r="G75" s="189"/>
      <c r="H75" s="126"/>
    </row>
    <row r="76" spans="3:8" x14ac:dyDescent="0.25">
      <c r="C76" s="190" t="s">
        <v>599</v>
      </c>
      <c r="D76" s="191">
        <f t="shared" ref="D76:G76" si="17">IF(D72&gt;0,"NA",-ROUND(D72,0))</f>
        <v>682</v>
      </c>
      <c r="E76" s="191">
        <f t="shared" si="17"/>
        <v>575</v>
      </c>
      <c r="F76" s="191">
        <f t="shared" si="17"/>
        <v>267</v>
      </c>
      <c r="G76" s="191">
        <f t="shared" si="17"/>
        <v>103</v>
      </c>
    </row>
    <row r="77" spans="3:8" x14ac:dyDescent="0.25">
      <c r="C77" s="190" t="s">
        <v>601</v>
      </c>
      <c r="D77" s="191">
        <f t="shared" ref="D77:G77" si="18">IF(D73&gt;0,"NA",-ROUND(D73,0))</f>
        <v>712</v>
      </c>
      <c r="E77" s="191">
        <f t="shared" si="18"/>
        <v>601</v>
      </c>
      <c r="F77" s="191">
        <f t="shared" si="18"/>
        <v>279</v>
      </c>
      <c r="G77" s="191">
        <f t="shared" si="18"/>
        <v>107</v>
      </c>
    </row>
    <row r="78" spans="3:8" x14ac:dyDescent="0.25">
      <c r="C78" s="190" t="s">
        <v>600</v>
      </c>
      <c r="D78" s="191">
        <f t="shared" ref="D78:G78" si="19">IF(D74&gt;0,"NA",-ROUND(D74,0))</f>
        <v>818</v>
      </c>
      <c r="E78" s="191">
        <f t="shared" si="19"/>
        <v>690</v>
      </c>
      <c r="F78" s="191">
        <f t="shared" si="19"/>
        <v>321</v>
      </c>
      <c r="G78" s="191">
        <f t="shared" si="19"/>
        <v>123</v>
      </c>
    </row>
    <row r="80" spans="3:8" ht="45.75" thickBot="1" x14ac:dyDescent="0.3">
      <c r="C80" s="109" t="s">
        <v>608</v>
      </c>
      <c r="D80" s="99"/>
      <c r="E80" s="99"/>
      <c r="F80" s="99"/>
      <c r="G80" s="99"/>
      <c r="H80" s="99" t="s">
        <v>607</v>
      </c>
    </row>
    <row r="81" spans="3:8" ht="45" x14ac:dyDescent="0.25">
      <c r="C81" s="6" t="s">
        <v>236</v>
      </c>
      <c r="D81" s="127">
        <v>-0.37</v>
      </c>
      <c r="E81" s="111"/>
      <c r="F81" s="111"/>
      <c r="G81" s="111"/>
      <c r="H81" s="6" t="s">
        <v>237</v>
      </c>
    </row>
    <row r="82" spans="3:8" ht="30" x14ac:dyDescent="0.25">
      <c r="C82" s="6" t="s">
        <v>238</v>
      </c>
      <c r="D82" s="117">
        <f>5774/19642</f>
        <v>0.29396191833825475</v>
      </c>
      <c r="E82" s="111"/>
      <c r="F82" s="111"/>
      <c r="G82" s="111"/>
      <c r="H82" s="6" t="s">
        <v>349</v>
      </c>
    </row>
    <row r="83" spans="3:8" ht="30" x14ac:dyDescent="0.25">
      <c r="C83" s="6" t="s">
        <v>239</v>
      </c>
      <c r="D83" s="117">
        <f>D81*D82</f>
        <v>-0.10876590978515426</v>
      </c>
      <c r="E83" s="111"/>
      <c r="F83" s="111"/>
      <c r="G83" s="111"/>
      <c r="H83" s="33" t="s">
        <v>240</v>
      </c>
    </row>
    <row r="84" spans="3:8" x14ac:dyDescent="0.25">
      <c r="C84" s="57" t="s">
        <v>241</v>
      </c>
      <c r="D84" s="103">
        <f>D54*D83</f>
        <v>489.44659403319417</v>
      </c>
      <c r="E84" s="120">
        <f>D84</f>
        <v>489.44659403319417</v>
      </c>
      <c r="F84" s="120">
        <f>E84</f>
        <v>489.44659403319417</v>
      </c>
      <c r="G84" s="120">
        <f>F84</f>
        <v>489.44659403319417</v>
      </c>
      <c r="H84" s="33" t="s">
        <v>242</v>
      </c>
    </row>
    <row r="85" spans="3:8" x14ac:dyDescent="0.25">
      <c r="C85" s="57" t="s">
        <v>556</v>
      </c>
      <c r="D85" s="114">
        <f>D84*D$5*1000/1000000</f>
        <v>148.34408669728793</v>
      </c>
      <c r="E85" s="114">
        <f t="shared" ref="E85:G85" si="20">E84*E$5*1000/1000000</f>
        <v>125.08747837769255</v>
      </c>
      <c r="F85" s="114">
        <f t="shared" si="20"/>
        <v>58.116833415855282</v>
      </c>
      <c r="G85" s="114">
        <f t="shared" si="20"/>
        <v>22.298792210587376</v>
      </c>
      <c r="H85" s="33" t="s">
        <v>221</v>
      </c>
    </row>
    <row r="86" spans="3:8" x14ac:dyDescent="0.25">
      <c r="C86" s="19" t="s">
        <v>555</v>
      </c>
      <c r="D86" s="121" t="str">
        <f>IF(D85&gt;0,"NA",-ROUND(D85,0))</f>
        <v>NA</v>
      </c>
      <c r="E86" s="121" t="str">
        <f t="shared" ref="E86:G86" si="21">IF(E85&gt;0,"NA",-ROUND(E85,0))</f>
        <v>NA</v>
      </c>
      <c r="F86" s="121" t="str">
        <f t="shared" si="21"/>
        <v>NA</v>
      </c>
      <c r="G86" s="121" t="str">
        <f t="shared" si="21"/>
        <v>NA</v>
      </c>
      <c r="H86" s="126"/>
    </row>
  </sheetData>
  <pageMargins left="0.7" right="0.7" top="0.75" bottom="0.75" header="0.3" footer="0.3"/>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1568A-7A7F-4A42-8BFD-6334773B7755}">
  <dimension ref="A1:H32"/>
  <sheetViews>
    <sheetView zoomScaleNormal="100" workbookViewId="0">
      <pane ySplit="3" topLeftCell="A22" activePane="bottomLeft" state="frozen"/>
      <selection pane="bottomLeft" activeCell="J26" sqref="J26"/>
    </sheetView>
  </sheetViews>
  <sheetFormatPr defaultRowHeight="15" x14ac:dyDescent="0.25"/>
  <cols>
    <col min="1" max="1" width="2.5703125" style="169" customWidth="1"/>
    <col min="2" max="2" width="4.42578125" style="3" customWidth="1"/>
    <col min="3" max="3" width="38.28515625" style="2" customWidth="1"/>
    <col min="4" max="7" width="9.7109375" customWidth="1"/>
    <col min="8" max="8" width="51.42578125" style="2" customWidth="1"/>
    <col min="11" max="11" width="11" bestFit="1" customWidth="1"/>
  </cols>
  <sheetData>
    <row r="1" spans="2:8" ht="15.75" thickTop="1" x14ac:dyDescent="0.25">
      <c r="B1" s="27" t="s">
        <v>461</v>
      </c>
      <c r="C1" s="27"/>
      <c r="D1" s="27"/>
      <c r="E1" s="27"/>
      <c r="F1" s="28"/>
      <c r="G1" s="28"/>
      <c r="H1" s="29"/>
    </row>
    <row r="2" spans="2:8" x14ac:dyDescent="0.25">
      <c r="D2" s="94" t="s">
        <v>1</v>
      </c>
      <c r="E2" s="94"/>
      <c r="F2" s="94"/>
      <c r="G2" s="94"/>
    </row>
    <row r="3" spans="2:8" ht="15.75" thickBot="1" x14ac:dyDescent="0.3">
      <c r="B3" s="65" t="s">
        <v>2</v>
      </c>
      <c r="C3" s="65" t="s">
        <v>3</v>
      </c>
      <c r="D3" s="102">
        <v>2025</v>
      </c>
      <c r="E3" s="102">
        <v>2030</v>
      </c>
      <c r="F3" s="102">
        <v>2040</v>
      </c>
      <c r="G3" s="102">
        <v>2050</v>
      </c>
      <c r="H3" s="65" t="s">
        <v>61</v>
      </c>
    </row>
    <row r="4" spans="2:8" ht="15.75" thickTop="1" x14ac:dyDescent="0.25">
      <c r="B4" s="97"/>
      <c r="C4" s="97" t="s">
        <v>6</v>
      </c>
      <c r="D4" s="97"/>
      <c r="E4" s="97"/>
      <c r="F4" s="95"/>
      <c r="G4" s="95"/>
      <c r="H4" s="95"/>
    </row>
    <row r="5" spans="2:8" x14ac:dyDescent="0.25">
      <c r="B5" s="6" t="s">
        <v>7</v>
      </c>
      <c r="C5" s="6" t="s">
        <v>8</v>
      </c>
      <c r="D5" s="103">
        <f>[1]EF!$U$3</f>
        <v>303.08533863702252</v>
      </c>
      <c r="E5" s="103">
        <f>[1]EF!$Y$3</f>
        <v>255.56920796390125</v>
      </c>
      <c r="F5" s="103">
        <f>[1]EF!$AI$3</f>
        <v>118.73988730201238</v>
      </c>
      <c r="G5" s="103">
        <f>[1]EF!$AS$3</f>
        <v>45.559193755621628</v>
      </c>
      <c r="H5" s="6" t="s">
        <v>9</v>
      </c>
    </row>
    <row r="6" spans="2:8" x14ac:dyDescent="0.25">
      <c r="B6" s="6" t="s">
        <v>191</v>
      </c>
      <c r="C6" s="6" t="s">
        <v>192</v>
      </c>
      <c r="D6" s="104">
        <v>10.5</v>
      </c>
      <c r="E6" s="105"/>
      <c r="F6" s="105"/>
      <c r="G6" s="105"/>
      <c r="H6" s="6" t="s">
        <v>193</v>
      </c>
    </row>
    <row r="7" spans="2:8" x14ac:dyDescent="0.25">
      <c r="B7" s="6" t="s">
        <v>194</v>
      </c>
      <c r="C7" s="24" t="s">
        <v>29</v>
      </c>
      <c r="D7" s="106">
        <v>300</v>
      </c>
      <c r="E7" s="107"/>
      <c r="F7" s="107"/>
      <c r="G7" s="107"/>
      <c r="H7" s="6"/>
    </row>
    <row r="8" spans="2:8" x14ac:dyDescent="0.25">
      <c r="B8" s="6"/>
      <c r="C8" s="57" t="s">
        <v>195</v>
      </c>
      <c r="D8" s="6"/>
      <c r="E8" s="107"/>
      <c r="F8" s="107"/>
      <c r="G8" s="107"/>
      <c r="H8" s="33"/>
    </row>
    <row r="9" spans="2:8" x14ac:dyDescent="0.25">
      <c r="B9" s="6" t="s">
        <v>196</v>
      </c>
      <c r="C9" s="87" t="s">
        <v>158</v>
      </c>
      <c r="D9" s="103">
        <f>Parking!D9</f>
        <v>10450</v>
      </c>
      <c r="E9" s="107"/>
      <c r="F9" s="107"/>
      <c r="G9" s="107"/>
      <c r="H9" s="33" t="str">
        <f>Electrification!H18</f>
        <v>CDOT (2021)</v>
      </c>
    </row>
    <row r="10" spans="2:8" x14ac:dyDescent="0.25">
      <c r="B10" s="6" t="s">
        <v>197</v>
      </c>
      <c r="C10" s="20" t="s">
        <v>198</v>
      </c>
      <c r="D10" s="108">
        <v>19642</v>
      </c>
      <c r="E10" s="107"/>
      <c r="F10" s="107"/>
      <c r="G10" s="107"/>
      <c r="H10" s="6" t="s">
        <v>199</v>
      </c>
    </row>
    <row r="11" spans="2:8" x14ac:dyDescent="0.25">
      <c r="B11" s="6" t="s">
        <v>200</v>
      </c>
      <c r="C11" s="20" t="s">
        <v>201</v>
      </c>
      <c r="D11" s="108">
        <f>12.8*2*250</f>
        <v>6400</v>
      </c>
      <c r="E11" s="107"/>
      <c r="F11" s="107"/>
      <c r="G11" s="107"/>
      <c r="H11" s="6" t="s">
        <v>202</v>
      </c>
    </row>
    <row r="12" spans="2:8" x14ac:dyDescent="0.25">
      <c r="B12" s="6"/>
      <c r="C12" s="24"/>
      <c r="D12" s="65"/>
      <c r="E12" s="65"/>
      <c r="F12" s="65"/>
      <c r="G12" s="65"/>
      <c r="H12" s="6"/>
    </row>
    <row r="13" spans="2:8" ht="30.75" thickBot="1" x14ac:dyDescent="0.3">
      <c r="B13" s="65"/>
      <c r="C13" s="109" t="s">
        <v>462</v>
      </c>
      <c r="D13" s="99"/>
      <c r="E13" s="99"/>
      <c r="F13" s="99"/>
      <c r="G13" s="99"/>
      <c r="H13" s="99" t="s">
        <v>477</v>
      </c>
    </row>
    <row r="14" spans="2:8" ht="30" x14ac:dyDescent="0.25">
      <c r="B14" s="65"/>
      <c r="C14" s="57" t="s">
        <v>469</v>
      </c>
      <c r="D14" s="155">
        <v>-0.22</v>
      </c>
      <c r="E14" s="107"/>
      <c r="F14" s="107"/>
      <c r="G14" s="107"/>
      <c r="H14" s="6" t="s">
        <v>463</v>
      </c>
    </row>
    <row r="15" spans="2:8" ht="45" x14ac:dyDescent="0.25">
      <c r="B15" s="65"/>
      <c r="C15" s="57" t="s">
        <v>466</v>
      </c>
      <c r="D15" s="103">
        <f>D10*D14*100%</f>
        <v>-4321.24</v>
      </c>
      <c r="E15" s="107"/>
      <c r="F15" s="107"/>
      <c r="G15" s="107"/>
      <c r="H15" s="33" t="s">
        <v>495</v>
      </c>
    </row>
    <row r="16" spans="2:8" ht="30" x14ac:dyDescent="0.25">
      <c r="B16" s="65"/>
      <c r="C16" s="57" t="s">
        <v>465</v>
      </c>
      <c r="D16" s="153">
        <f>$D15*D5*18/1000000</f>
        <v>-23.574680797173247</v>
      </c>
      <c r="E16" s="153">
        <f t="shared" ref="E16:G16" si="0">$D15*E5*18/1000000</f>
        <v>-19.878765915994716</v>
      </c>
      <c r="F16" s="153">
        <f t="shared" si="0"/>
        <v>-9.2358639108890639</v>
      </c>
      <c r="G16" s="153">
        <f t="shared" si="0"/>
        <v>-3.5436997876417631</v>
      </c>
      <c r="H16" s="33" t="s">
        <v>496</v>
      </c>
    </row>
    <row r="17" spans="2:8" x14ac:dyDescent="0.25">
      <c r="B17" s="65"/>
      <c r="C17" s="19" t="s">
        <v>467</v>
      </c>
      <c r="D17" s="121">
        <f>IF(D16&gt;0,"NA",-ROUND(D16,0))</f>
        <v>24</v>
      </c>
      <c r="E17" s="121">
        <f t="shared" ref="E17:G17" si="1">IF(E16&gt;0,"NA",-ROUND(E16,0))</f>
        <v>20</v>
      </c>
      <c r="F17" s="121">
        <f t="shared" si="1"/>
        <v>9</v>
      </c>
      <c r="G17" s="121">
        <f t="shared" si="1"/>
        <v>4</v>
      </c>
      <c r="H17" s="6"/>
    </row>
    <row r="18" spans="2:8" x14ac:dyDescent="0.25">
      <c r="B18" s="6"/>
      <c r="C18" s="57"/>
      <c r="D18" s="119"/>
      <c r="E18" s="119"/>
      <c r="F18" s="119"/>
      <c r="G18" s="119"/>
      <c r="H18" s="6"/>
    </row>
    <row r="19" spans="2:8" ht="30.75" thickBot="1" x14ac:dyDescent="0.3">
      <c r="B19" s="6"/>
      <c r="C19" s="109" t="s">
        <v>464</v>
      </c>
      <c r="D19" s="99"/>
      <c r="E19" s="99"/>
      <c r="F19" s="99"/>
      <c r="G19" s="99"/>
      <c r="H19" s="99" t="s">
        <v>478</v>
      </c>
    </row>
    <row r="20" spans="2:8" ht="30" x14ac:dyDescent="0.25">
      <c r="B20" s="6"/>
      <c r="C20" s="57" t="s">
        <v>468</v>
      </c>
      <c r="D20" s="155">
        <v>-7.0000000000000007E-2</v>
      </c>
      <c r="E20" s="107"/>
      <c r="F20" s="107"/>
      <c r="G20" s="107"/>
      <c r="H20" s="6" t="s">
        <v>463</v>
      </c>
    </row>
    <row r="21" spans="2:8" ht="30" x14ac:dyDescent="0.25">
      <c r="B21" s="6"/>
      <c r="C21" s="57" t="s">
        <v>470</v>
      </c>
      <c r="D21" s="119">
        <v>300</v>
      </c>
      <c r="E21" s="107"/>
      <c r="F21" s="107"/>
      <c r="G21" s="107"/>
      <c r="H21" s="6" t="s">
        <v>119</v>
      </c>
    </row>
    <row r="22" spans="2:8" x14ac:dyDescent="0.25">
      <c r="B22" s="6"/>
      <c r="C22" s="57" t="s">
        <v>471</v>
      </c>
      <c r="D22" s="154">
        <f>43560/300</f>
        <v>145.19999999999999</v>
      </c>
      <c r="E22" s="107"/>
      <c r="F22" s="107"/>
      <c r="G22" s="107"/>
      <c r="H22" s="6" t="s">
        <v>472</v>
      </c>
    </row>
    <row r="23" spans="2:8" x14ac:dyDescent="0.25">
      <c r="B23" s="6"/>
      <c r="C23" s="57" t="s">
        <v>473</v>
      </c>
    </row>
    <row r="24" spans="2:8" x14ac:dyDescent="0.25">
      <c r="B24" s="6"/>
      <c r="C24" s="87" t="s">
        <v>474</v>
      </c>
      <c r="D24" s="103">
        <f>TDM!D10*2*TDM!D12</f>
        <v>6350</v>
      </c>
      <c r="E24" s="107"/>
      <c r="F24" s="107"/>
      <c r="G24" s="107"/>
      <c r="H24" s="33" t="s">
        <v>497</v>
      </c>
    </row>
    <row r="25" spans="2:8" x14ac:dyDescent="0.25">
      <c r="B25" s="6"/>
      <c r="C25" s="87" t="s">
        <v>475</v>
      </c>
      <c r="D25" s="103">
        <f>D24*D20</f>
        <v>-444.50000000000006</v>
      </c>
      <c r="E25" s="107"/>
      <c r="F25" s="107"/>
      <c r="G25" s="107"/>
      <c r="H25" s="33" t="s">
        <v>498</v>
      </c>
    </row>
    <row r="26" spans="2:8" ht="30" x14ac:dyDescent="0.25">
      <c r="C26" s="57" t="s">
        <v>465</v>
      </c>
      <c r="D26" s="153">
        <f>$D25*$D22*D5/1000000</f>
        <v>-19.561552075107524</v>
      </c>
      <c r="E26" s="153">
        <f t="shared" ref="E26:G26" si="2">$D25*$D22*E5/1000000</f>
        <v>-16.494794478881335</v>
      </c>
      <c r="F26" s="153">
        <f t="shared" si="2"/>
        <v>-7.6636385623141017</v>
      </c>
      <c r="G26" s="153">
        <f t="shared" si="2"/>
        <v>-2.9404541478590778</v>
      </c>
      <c r="H26" s="33" t="s">
        <v>499</v>
      </c>
    </row>
    <row r="27" spans="2:8" x14ac:dyDescent="0.25">
      <c r="C27" s="19" t="s">
        <v>467</v>
      </c>
      <c r="D27" s="121">
        <f>IF(D26&gt;0,"NA",-ROUND(D26,0))</f>
        <v>20</v>
      </c>
      <c r="E27" s="121">
        <f t="shared" ref="E27" si="3">IF(E26&gt;0,"NA",-ROUND(E26,0))</f>
        <v>16</v>
      </c>
      <c r="F27" s="121">
        <f t="shared" ref="F27" si="4">IF(F26&gt;0,"NA",-ROUND(F26,0))</f>
        <v>8</v>
      </c>
      <c r="G27" s="121">
        <f t="shared" ref="G27" si="5">IF(G26&gt;0,"NA",-ROUND(G26,0))</f>
        <v>3</v>
      </c>
      <c r="H27" s="6"/>
    </row>
    <row r="29" spans="2:8" ht="60.75" thickBot="1" x14ac:dyDescent="0.3">
      <c r="C29" s="109" t="s">
        <v>560</v>
      </c>
      <c r="D29" s="99"/>
      <c r="E29" s="99"/>
      <c r="F29" s="99"/>
      <c r="G29" s="99"/>
      <c r="H29" s="99" t="s">
        <v>480</v>
      </c>
    </row>
    <row r="30" spans="2:8" ht="30" x14ac:dyDescent="0.25">
      <c r="C30" s="57" t="s">
        <v>479</v>
      </c>
      <c r="D30" s="103">
        <f>D$15*25+D$25*150</f>
        <v>-174706</v>
      </c>
      <c r="E30" s="107"/>
      <c r="F30" s="107"/>
      <c r="G30" s="107"/>
      <c r="H30" s="33" t="s">
        <v>494</v>
      </c>
    </row>
    <row r="31" spans="2:8" ht="30" x14ac:dyDescent="0.25">
      <c r="C31" s="57" t="s">
        <v>465</v>
      </c>
      <c r="D31" s="153">
        <f>$D30*D$5/1000000</f>
        <v>-52.950827171919656</v>
      </c>
      <c r="E31" s="153">
        <f>$D30*E5/1000000</f>
        <v>-44.649474046541336</v>
      </c>
      <c r="F31" s="153">
        <f>$D30*F5/1000000</f>
        <v>-20.744570750985371</v>
      </c>
      <c r="G31" s="153">
        <f>$D30*G5/1000000</f>
        <v>-7.9594645042696328</v>
      </c>
      <c r="H31" s="33" t="s">
        <v>493</v>
      </c>
    </row>
    <row r="32" spans="2:8" x14ac:dyDescent="0.25">
      <c r="C32" s="19" t="s">
        <v>467</v>
      </c>
      <c r="D32" s="121">
        <f>IF(D31&gt;0,"NA",-ROUND(D31,0))</f>
        <v>53</v>
      </c>
      <c r="E32" s="121">
        <f t="shared" ref="E32" si="6">IF(E31&gt;0,"NA",-ROUND(E31,0))</f>
        <v>45</v>
      </c>
      <c r="F32" s="121">
        <f t="shared" ref="F32" si="7">IF(F31&gt;0,"NA",-ROUND(F31,0))</f>
        <v>21</v>
      </c>
      <c r="G32" s="121">
        <f t="shared" ref="G32" si="8">IF(G31&gt;0,"NA",-ROUND(G31,0))</f>
        <v>8</v>
      </c>
      <c r="H32" s="6"/>
    </row>
  </sheetData>
  <pageMargins left="0.7" right="0.7" top="0.75" bottom="0.75" header="0.3" footer="0.3"/>
  <pageSetup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8B3A8-2746-4ADE-A779-68DFBD00B3A5}">
  <dimension ref="A1:M72"/>
  <sheetViews>
    <sheetView zoomScaleNormal="100" workbookViewId="0">
      <pane ySplit="3" topLeftCell="A46" activePane="bottomLeft" state="frozen"/>
      <selection pane="bottomLeft" activeCell="H60" sqref="H60"/>
    </sheetView>
  </sheetViews>
  <sheetFormatPr defaultRowHeight="15" x14ac:dyDescent="0.25"/>
  <cols>
    <col min="1" max="1" width="3.28515625" style="169" customWidth="1"/>
    <col min="2" max="2" width="4.42578125" style="3" customWidth="1"/>
    <col min="3" max="3" width="36.140625" style="2" customWidth="1"/>
    <col min="4" max="7" width="9.7109375" customWidth="1"/>
    <col min="8" max="8" width="51" style="2" customWidth="1"/>
    <col min="13" max="13" width="7.85546875" customWidth="1"/>
  </cols>
  <sheetData>
    <row r="1" spans="1:8" ht="15.75" thickTop="1" x14ac:dyDescent="0.25">
      <c r="B1" s="27" t="s">
        <v>254</v>
      </c>
      <c r="C1" s="27"/>
      <c r="D1" s="27"/>
      <c r="E1" s="27"/>
      <c r="F1" s="28"/>
      <c r="G1" s="28"/>
      <c r="H1" s="29"/>
    </row>
    <row r="2" spans="1:8" x14ac:dyDescent="0.25">
      <c r="D2" s="1" t="s">
        <v>1</v>
      </c>
      <c r="E2" s="1"/>
      <c r="F2" s="1"/>
      <c r="G2" s="1"/>
    </row>
    <row r="3" spans="1:8" ht="15.75" thickBot="1" x14ac:dyDescent="0.3">
      <c r="B3" s="34" t="s">
        <v>2</v>
      </c>
      <c r="C3" s="17" t="s">
        <v>3</v>
      </c>
      <c r="D3" s="13">
        <v>2025</v>
      </c>
      <c r="E3" s="13">
        <v>2030</v>
      </c>
      <c r="F3" s="13">
        <v>2040</v>
      </c>
      <c r="G3" s="13">
        <v>2050</v>
      </c>
      <c r="H3" s="17" t="s">
        <v>61</v>
      </c>
    </row>
    <row r="4" spans="1:8" ht="15.75" thickTop="1" x14ac:dyDescent="0.25">
      <c r="B4" s="35"/>
      <c r="C4" s="35" t="s">
        <v>6</v>
      </c>
      <c r="D4" s="35"/>
      <c r="E4" s="35"/>
      <c r="F4" s="92"/>
      <c r="G4" s="92"/>
      <c r="H4" s="95"/>
    </row>
    <row r="5" spans="1:8" x14ac:dyDescent="0.25">
      <c r="C5" s="38" t="s">
        <v>70</v>
      </c>
      <c r="D5" s="37"/>
      <c r="E5" s="37"/>
      <c r="F5" s="37"/>
      <c r="G5" s="37"/>
      <c r="H5" s="38"/>
    </row>
    <row r="6" spans="1:8" x14ac:dyDescent="0.25">
      <c r="B6" s="3" t="s">
        <v>63</v>
      </c>
      <c r="C6" s="20" t="s">
        <v>73</v>
      </c>
      <c r="D6" s="7">
        <f>[1]EF!$U$3</f>
        <v>303.08533863702252</v>
      </c>
      <c r="E6" s="7">
        <f>[1]EF!$Y$3</f>
        <v>255.56920796390125</v>
      </c>
      <c r="F6" s="7">
        <f>[1]EF!$AI$3</f>
        <v>118.73988730201238</v>
      </c>
      <c r="G6" s="7">
        <f>[1]EF!$AS$3</f>
        <v>45.559193755621628</v>
      </c>
      <c r="H6" s="6" t="s">
        <v>9</v>
      </c>
    </row>
    <row r="7" spans="1:8" ht="45" x14ac:dyDescent="0.25">
      <c r="A7" s="193"/>
      <c r="B7" s="157" t="s">
        <v>66</v>
      </c>
      <c r="C7" s="176" t="s">
        <v>386</v>
      </c>
      <c r="D7" s="60">
        <f>D6*2.5</f>
        <v>757.71334659255626</v>
      </c>
      <c r="E7" s="60">
        <f>D7*E6/$D6</f>
        <v>638.92301990975318</v>
      </c>
      <c r="F7" s="60">
        <f t="shared" ref="F7:G7" si="0">E7*F6/$D6</f>
        <v>250.31117545940691</v>
      </c>
      <c r="G7" s="60">
        <f t="shared" si="0"/>
        <v>37.626285036538881</v>
      </c>
      <c r="H7" s="6" t="s">
        <v>256</v>
      </c>
    </row>
    <row r="8" spans="1:8" x14ac:dyDescent="0.25">
      <c r="A8" s="193"/>
      <c r="B8" s="157" t="s">
        <v>387</v>
      </c>
      <c r="C8" s="176" t="s">
        <v>388</v>
      </c>
      <c r="D8" s="60">
        <v>0</v>
      </c>
      <c r="E8" s="60">
        <f t="shared" ref="E8:F8" si="1">D8*E7/$D7</f>
        <v>0</v>
      </c>
      <c r="F8" s="60">
        <f t="shared" si="1"/>
        <v>0</v>
      </c>
      <c r="G8" s="60">
        <f t="shared" ref="G8" si="2">F8*G7/$D7</f>
        <v>0</v>
      </c>
      <c r="H8" s="6"/>
    </row>
    <row r="9" spans="1:8" x14ac:dyDescent="0.25">
      <c r="C9" s="6" t="s">
        <v>257</v>
      </c>
      <c r="D9" s="3"/>
      <c r="E9" s="3"/>
      <c r="F9" s="3"/>
      <c r="G9" s="3"/>
      <c r="H9" s="6"/>
    </row>
    <row r="10" spans="1:8" x14ac:dyDescent="0.25">
      <c r="B10" s="3" t="s">
        <v>11</v>
      </c>
      <c r="C10" s="20" t="s">
        <v>73</v>
      </c>
      <c r="D10" s="4">
        <v>12.7</v>
      </c>
      <c r="E10" s="5">
        <f t="shared" ref="E10:G12" si="3">D10</f>
        <v>12.7</v>
      </c>
      <c r="F10" s="5">
        <f t="shared" si="3"/>
        <v>12.7</v>
      </c>
      <c r="G10" s="5">
        <f t="shared" si="3"/>
        <v>12.7</v>
      </c>
      <c r="H10" s="6" t="s">
        <v>258</v>
      </c>
    </row>
    <row r="11" spans="1:8" ht="30" x14ac:dyDescent="0.25">
      <c r="B11" s="3" t="s">
        <v>14</v>
      </c>
      <c r="C11" s="20" t="s">
        <v>255</v>
      </c>
      <c r="D11" s="4">
        <v>25</v>
      </c>
      <c r="E11" s="5">
        <f t="shared" si="3"/>
        <v>25</v>
      </c>
      <c r="F11" s="5">
        <f t="shared" si="3"/>
        <v>25</v>
      </c>
      <c r="G11" s="5">
        <f t="shared" si="3"/>
        <v>25</v>
      </c>
      <c r="H11" s="6" t="s">
        <v>259</v>
      </c>
    </row>
    <row r="12" spans="1:8" x14ac:dyDescent="0.25">
      <c r="B12" s="3" t="s">
        <v>194</v>
      </c>
      <c r="C12" s="24" t="s">
        <v>29</v>
      </c>
      <c r="D12" s="91">
        <v>250</v>
      </c>
      <c r="E12" s="26">
        <f t="shared" si="3"/>
        <v>250</v>
      </c>
      <c r="F12" s="26">
        <f t="shared" si="3"/>
        <v>250</v>
      </c>
      <c r="G12" s="26">
        <f t="shared" si="3"/>
        <v>250</v>
      </c>
      <c r="H12" s="6" t="s">
        <v>260</v>
      </c>
    </row>
    <row r="13" spans="1:8" x14ac:dyDescent="0.25">
      <c r="C13" s="6"/>
      <c r="D13" s="34"/>
      <c r="E13" s="34"/>
      <c r="F13" s="34"/>
      <c r="G13" s="34"/>
      <c r="H13" s="6"/>
    </row>
    <row r="14" spans="1:8" ht="15.75" thickBot="1" x14ac:dyDescent="0.3">
      <c r="B14" s="34"/>
      <c r="C14" s="53" t="s">
        <v>261</v>
      </c>
      <c r="D14" s="98"/>
      <c r="E14" s="98"/>
      <c r="F14" s="98"/>
      <c r="G14" s="98"/>
      <c r="H14" s="99" t="s">
        <v>262</v>
      </c>
    </row>
    <row r="15" spans="1:8" ht="30" x14ac:dyDescent="0.25">
      <c r="C15" s="57" t="s">
        <v>263</v>
      </c>
      <c r="D15" s="59">
        <v>-100</v>
      </c>
      <c r="E15" s="26"/>
      <c r="F15" s="26"/>
      <c r="G15" s="26"/>
      <c r="H15" s="6" t="s">
        <v>264</v>
      </c>
    </row>
    <row r="16" spans="1:8" x14ac:dyDescent="0.25">
      <c r="C16" s="57" t="s">
        <v>265</v>
      </c>
      <c r="D16" s="10">
        <f>$D15*D$6/1000</f>
        <v>-30.308533863702252</v>
      </c>
      <c r="E16" s="10">
        <f t="shared" ref="E16:G16" si="4">$D15*E$6/1000</f>
        <v>-25.556920796390123</v>
      </c>
      <c r="F16" s="10">
        <f t="shared" si="4"/>
        <v>-11.873988730201237</v>
      </c>
      <c r="G16" s="10">
        <f t="shared" si="4"/>
        <v>-4.555919375562163</v>
      </c>
      <c r="H16" s="33" t="s">
        <v>266</v>
      </c>
    </row>
    <row r="17" spans="2:13" x14ac:dyDescent="0.25">
      <c r="C17" s="19" t="s">
        <v>267</v>
      </c>
      <c r="D17" s="12">
        <f>IF(D16&gt;0,"NA",-ROUND(D16,0))</f>
        <v>30</v>
      </c>
      <c r="E17" s="12">
        <f t="shared" ref="E17:G17" si="5">IF(E16&gt;0,"NA",-ROUND(E16,0))</f>
        <v>26</v>
      </c>
      <c r="F17" s="12">
        <f t="shared" si="5"/>
        <v>12</v>
      </c>
      <c r="G17" s="12">
        <f t="shared" si="5"/>
        <v>5</v>
      </c>
      <c r="H17" s="6"/>
      <c r="L17" s="64"/>
      <c r="M17" s="61"/>
    </row>
    <row r="18" spans="2:13" x14ac:dyDescent="0.25">
      <c r="C18" s="3"/>
      <c r="D18" s="3"/>
      <c r="E18" s="3"/>
      <c r="F18" s="3"/>
      <c r="G18" s="3"/>
      <c r="H18" s="3"/>
      <c r="L18" s="61"/>
      <c r="M18" s="61"/>
    </row>
    <row r="19" spans="2:13" ht="15.75" thickBot="1" x14ac:dyDescent="0.3">
      <c r="C19" s="53" t="s">
        <v>261</v>
      </c>
      <c r="D19" s="98"/>
      <c r="E19" s="98"/>
      <c r="F19" s="98"/>
      <c r="G19" s="98"/>
      <c r="H19" s="99" t="s">
        <v>269</v>
      </c>
      <c r="L19" s="61"/>
      <c r="M19" s="61"/>
    </row>
    <row r="20" spans="2:13" ht="45" x14ac:dyDescent="0.25">
      <c r="C20" s="57" t="s">
        <v>458</v>
      </c>
      <c r="D20" s="152">
        <v>-0.05</v>
      </c>
      <c r="E20" s="9">
        <f>D20</f>
        <v>-0.05</v>
      </c>
      <c r="F20" s="9">
        <f>E20</f>
        <v>-0.05</v>
      </c>
      <c r="G20" s="9">
        <f>F20</f>
        <v>-0.05</v>
      </c>
      <c r="H20" s="6" t="s">
        <v>476</v>
      </c>
      <c r="L20" s="62"/>
      <c r="M20" s="62"/>
    </row>
    <row r="21" spans="2:13" ht="30" x14ac:dyDescent="0.25">
      <c r="C21" s="57" t="s">
        <v>459</v>
      </c>
      <c r="D21" s="59">
        <f>D10*2*D12*1000*D20</f>
        <v>-317500</v>
      </c>
      <c r="E21" s="59">
        <f t="shared" ref="E21:G21" si="6">E10*2*E12*1000*E20</f>
        <v>-317500</v>
      </c>
      <c r="F21" s="59">
        <f t="shared" si="6"/>
        <v>-317500</v>
      </c>
      <c r="G21" s="59">
        <f t="shared" si="6"/>
        <v>-317500</v>
      </c>
      <c r="H21" s="33" t="s">
        <v>272</v>
      </c>
      <c r="L21" s="61"/>
      <c r="M21" s="61"/>
    </row>
    <row r="22" spans="2:13" x14ac:dyDescent="0.25">
      <c r="C22" s="57" t="s">
        <v>273</v>
      </c>
      <c r="D22" s="10">
        <f>D21*D$6/1000000</f>
        <v>-96.229595017254653</v>
      </c>
      <c r="E22" s="10">
        <f>E21*E$6/1000000</f>
        <v>-81.143223528538641</v>
      </c>
      <c r="F22" s="10">
        <f>F21*F$6/1000000</f>
        <v>-37.699914218388933</v>
      </c>
      <c r="G22" s="10">
        <f>G21*G$6/1000000</f>
        <v>-14.465044017409866</v>
      </c>
      <c r="H22" s="33" t="s">
        <v>274</v>
      </c>
      <c r="L22" s="62"/>
      <c r="M22" s="62"/>
    </row>
    <row r="23" spans="2:13" x14ac:dyDescent="0.25">
      <c r="C23" s="19" t="s">
        <v>460</v>
      </c>
      <c r="D23" s="12">
        <f>IF(D22&gt;0,"NA",-ROUND(D22,0))</f>
        <v>96</v>
      </c>
      <c r="E23" s="12">
        <f t="shared" ref="E23:G23" si="7">IF(E22&gt;0,"NA",-ROUND(E22,0))</f>
        <v>81</v>
      </c>
      <c r="F23" s="12">
        <f t="shared" si="7"/>
        <v>38</v>
      </c>
      <c r="G23" s="12">
        <f t="shared" si="7"/>
        <v>14</v>
      </c>
      <c r="H23" s="6"/>
      <c r="L23" s="61"/>
      <c r="M23" s="63"/>
    </row>
    <row r="24" spans="2:13" x14ac:dyDescent="0.25">
      <c r="C24" s="57"/>
      <c r="D24" s="10"/>
      <c r="E24" s="10"/>
      <c r="F24" s="10"/>
      <c r="G24" s="10"/>
      <c r="H24" s="6"/>
    </row>
    <row r="25" spans="2:13" ht="15.75" hidden="1" thickBot="1" x14ac:dyDescent="0.3">
      <c r="C25" s="53" t="s">
        <v>268</v>
      </c>
      <c r="D25" s="98"/>
      <c r="E25" s="98"/>
      <c r="F25" s="98"/>
      <c r="G25" s="98"/>
      <c r="H25" s="99" t="s">
        <v>269</v>
      </c>
    </row>
    <row r="26" spans="2:13" hidden="1" x14ac:dyDescent="0.25">
      <c r="C26" s="57" t="s">
        <v>270</v>
      </c>
      <c r="D26" s="69">
        <f>M23</f>
        <v>0</v>
      </c>
      <c r="E26" s="9">
        <f>D26</f>
        <v>0</v>
      </c>
      <c r="F26" s="9">
        <f>E26</f>
        <v>0</v>
      </c>
      <c r="G26" s="9">
        <f>F26</f>
        <v>0</v>
      </c>
      <c r="H26" s="6" t="s">
        <v>271</v>
      </c>
    </row>
    <row r="27" spans="2:13" ht="30" hidden="1" x14ac:dyDescent="0.25">
      <c r="B27" s="34"/>
      <c r="C27" s="57" t="s">
        <v>459</v>
      </c>
      <c r="D27" s="59">
        <f>D10*2*D12*1000*D26</f>
        <v>0</v>
      </c>
      <c r="E27" s="59">
        <f>E10*2*E12*1000*E26</f>
        <v>0</v>
      </c>
      <c r="F27" s="59">
        <f>F10*2*F12*1000*F26</f>
        <v>0</v>
      </c>
      <c r="G27" s="59">
        <f>G10*2*G12*1000*G26</f>
        <v>0</v>
      </c>
      <c r="H27" s="33" t="s">
        <v>272</v>
      </c>
    </row>
    <row r="28" spans="2:13" hidden="1" x14ac:dyDescent="0.25">
      <c r="B28" s="34"/>
      <c r="C28" s="57" t="s">
        <v>273</v>
      </c>
      <c r="D28" s="10">
        <f>D27*D$6/1000000</f>
        <v>0</v>
      </c>
      <c r="E28" s="10">
        <f>E27*E$6/1000000</f>
        <v>0</v>
      </c>
      <c r="F28" s="10">
        <f>F27*F$6/1000000</f>
        <v>0</v>
      </c>
      <c r="G28" s="10">
        <f>G27*G$6/1000000</f>
        <v>0</v>
      </c>
      <c r="H28" s="33" t="s">
        <v>274</v>
      </c>
    </row>
    <row r="29" spans="2:13" hidden="1" x14ac:dyDescent="0.25">
      <c r="B29" s="34"/>
      <c r="C29" s="19" t="s">
        <v>460</v>
      </c>
      <c r="D29" s="12">
        <f>IF(D28&gt;0,"NA",-ROUND(D28,0))</f>
        <v>0</v>
      </c>
      <c r="E29" s="12">
        <f t="shared" ref="E29:G29" si="8">IF(E28&gt;0,"NA",-ROUND(E28,0))</f>
        <v>0</v>
      </c>
      <c r="F29" s="12">
        <f t="shared" si="8"/>
        <v>0</v>
      </c>
      <c r="G29" s="12">
        <f t="shared" si="8"/>
        <v>0</v>
      </c>
      <c r="H29" s="6"/>
    </row>
    <row r="30" spans="2:13" hidden="1" x14ac:dyDescent="0.25">
      <c r="B30" s="34"/>
      <c r="C30" s="57"/>
      <c r="D30" s="10"/>
      <c r="E30" s="10"/>
      <c r="F30" s="10"/>
      <c r="G30" s="10"/>
      <c r="H30" s="6"/>
    </row>
    <row r="31" spans="2:13" ht="15.75" thickBot="1" x14ac:dyDescent="0.3">
      <c r="B31" s="34"/>
      <c r="C31" s="53" t="s">
        <v>275</v>
      </c>
      <c r="D31" s="98"/>
      <c r="E31" s="98"/>
      <c r="F31" s="98"/>
      <c r="G31" s="98"/>
      <c r="H31" s="99" t="s">
        <v>262</v>
      </c>
      <c r="L31" s="1"/>
    </row>
    <row r="32" spans="2:13" ht="30" x14ac:dyDescent="0.25">
      <c r="B32" s="34"/>
      <c r="C32" s="57" t="s">
        <v>276</v>
      </c>
      <c r="D32" s="59">
        <v>7</v>
      </c>
      <c r="E32" s="26">
        <f>D32</f>
        <v>7</v>
      </c>
      <c r="F32" s="26">
        <f>E32</f>
        <v>7</v>
      </c>
      <c r="G32" s="26">
        <f>F32</f>
        <v>7</v>
      </c>
      <c r="H32" s="6" t="s">
        <v>264</v>
      </c>
    </row>
    <row r="33" spans="3:12" x14ac:dyDescent="0.25">
      <c r="C33" s="57" t="s">
        <v>273</v>
      </c>
      <c r="D33" s="10">
        <f>-D32*D$6/1000</f>
        <v>-2.1215973704591575</v>
      </c>
      <c r="E33" s="10">
        <f>-E32*E$6/1000</f>
        <v>-1.7889844557473089</v>
      </c>
      <c r="F33" s="10">
        <f>-F32*F$6/1000</f>
        <v>-0.83117921111408666</v>
      </c>
      <c r="G33" s="10">
        <f>-G32*G$6/1000</f>
        <v>-0.31891435628935144</v>
      </c>
      <c r="H33" s="33" t="s">
        <v>266</v>
      </c>
    </row>
    <row r="34" spans="3:12" x14ac:dyDescent="0.25">
      <c r="C34" s="19" t="s">
        <v>267</v>
      </c>
      <c r="D34" s="12">
        <f>IF(D33&gt;0,"NA",-ROUND(D33,0))</f>
        <v>2</v>
      </c>
      <c r="E34" s="12">
        <f t="shared" ref="E34:G34" si="9">IF(E33&gt;0,"NA",-ROUND(E33,0))</f>
        <v>2</v>
      </c>
      <c r="F34" s="12">
        <f t="shared" si="9"/>
        <v>1</v>
      </c>
      <c r="G34" s="12">
        <f t="shared" si="9"/>
        <v>0</v>
      </c>
      <c r="H34" s="6"/>
      <c r="L34" s="82"/>
    </row>
    <row r="35" spans="3:12" x14ac:dyDescent="0.25">
      <c r="C35" s="57"/>
      <c r="D35" s="10"/>
      <c r="E35" s="10"/>
      <c r="F35" s="10"/>
      <c r="G35" s="10"/>
      <c r="H35" s="6"/>
      <c r="L35" s="169"/>
    </row>
    <row r="36" spans="3:12" ht="15.75" thickBot="1" x14ac:dyDescent="0.3">
      <c r="C36" s="53" t="s">
        <v>277</v>
      </c>
      <c r="D36" s="98"/>
      <c r="E36" s="98"/>
      <c r="F36" s="98"/>
      <c r="G36" s="98"/>
      <c r="H36" s="99" t="s">
        <v>278</v>
      </c>
      <c r="L36" s="82"/>
    </row>
    <row r="37" spans="3:12" x14ac:dyDescent="0.25">
      <c r="C37" s="3" t="s">
        <v>279</v>
      </c>
      <c r="D37" s="4">
        <v>5.8</v>
      </c>
      <c r="E37" s="5">
        <f t="shared" ref="E37:G39" si="10">D37</f>
        <v>5.8</v>
      </c>
      <c r="F37" s="5">
        <f t="shared" si="10"/>
        <v>5.8</v>
      </c>
      <c r="G37" s="5">
        <f t="shared" si="10"/>
        <v>5.8</v>
      </c>
      <c r="H37" s="6" t="s">
        <v>280</v>
      </c>
    </row>
    <row r="38" spans="3:12" ht="45" x14ac:dyDescent="0.25">
      <c r="C38" s="3" t="s">
        <v>281</v>
      </c>
      <c r="D38" s="8">
        <v>0.65</v>
      </c>
      <c r="E38" s="9">
        <f t="shared" si="10"/>
        <v>0.65</v>
      </c>
      <c r="F38" s="9">
        <f t="shared" si="10"/>
        <v>0.65</v>
      </c>
      <c r="G38" s="9">
        <f t="shared" si="10"/>
        <v>0.65</v>
      </c>
      <c r="H38" s="6" t="s">
        <v>282</v>
      </c>
    </row>
    <row r="39" spans="3:12" ht="30" x14ac:dyDescent="0.25">
      <c r="C39" s="3" t="s">
        <v>283</v>
      </c>
      <c r="D39" s="3">
        <v>1.2</v>
      </c>
      <c r="E39" s="5">
        <f t="shared" si="10"/>
        <v>1.2</v>
      </c>
      <c r="F39" s="5">
        <f t="shared" si="10"/>
        <v>1.2</v>
      </c>
      <c r="G39" s="5">
        <f t="shared" si="10"/>
        <v>1.2</v>
      </c>
      <c r="H39" s="6" t="s">
        <v>284</v>
      </c>
    </row>
    <row r="40" spans="3:12" x14ac:dyDescent="0.25">
      <c r="C40" s="3" t="s">
        <v>285</v>
      </c>
      <c r="D40" s="34"/>
      <c r="E40" s="34"/>
      <c r="F40" s="34"/>
      <c r="G40" s="34"/>
      <c r="H40" s="65"/>
    </row>
    <row r="41" spans="3:12" x14ac:dyDescent="0.25">
      <c r="C41" s="54" t="s">
        <v>73</v>
      </c>
      <c r="D41" s="59">
        <f>-D37*D38*D11*D12</f>
        <v>-23562.5</v>
      </c>
      <c r="E41" s="55">
        <f t="shared" ref="E41:G42" si="11">D41</f>
        <v>-23562.5</v>
      </c>
      <c r="F41" s="55">
        <f t="shared" si="11"/>
        <v>-23562.5</v>
      </c>
      <c r="G41" s="55">
        <f t="shared" si="11"/>
        <v>-23562.5</v>
      </c>
      <c r="H41" s="33" t="s">
        <v>286</v>
      </c>
    </row>
    <row r="42" spans="3:12" x14ac:dyDescent="0.25">
      <c r="C42" s="87" t="s">
        <v>255</v>
      </c>
      <c r="D42" s="59">
        <f>D11*D12*D39</f>
        <v>7500</v>
      </c>
      <c r="E42" s="55">
        <f t="shared" si="11"/>
        <v>7500</v>
      </c>
      <c r="F42" s="55">
        <f t="shared" si="11"/>
        <v>7500</v>
      </c>
      <c r="G42" s="55">
        <f t="shared" si="11"/>
        <v>7500</v>
      </c>
      <c r="H42" s="33" t="s">
        <v>287</v>
      </c>
    </row>
    <row r="43" spans="3:12" x14ac:dyDescent="0.25">
      <c r="C43" s="135" t="s">
        <v>288</v>
      </c>
      <c r="D43" s="10"/>
      <c r="E43" s="10"/>
      <c r="F43" s="10"/>
      <c r="G43" s="10"/>
      <c r="H43" s="6"/>
    </row>
    <row r="44" spans="3:12" x14ac:dyDescent="0.25">
      <c r="C44" s="54" t="s">
        <v>73</v>
      </c>
      <c r="D44" s="10">
        <f t="shared" ref="D44:G45" si="12">D41*D6/1000000</f>
        <v>-7.141448291634843</v>
      </c>
      <c r="E44" s="10">
        <f t="shared" si="12"/>
        <v>-6.0218494626494232</v>
      </c>
      <c r="F44" s="10">
        <f t="shared" si="12"/>
        <v>-2.7978085945536666</v>
      </c>
      <c r="G44" s="10">
        <f t="shared" si="12"/>
        <v>-1.0734885028668346</v>
      </c>
      <c r="H44" s="33" t="s">
        <v>289</v>
      </c>
    </row>
    <row r="45" spans="3:12" x14ac:dyDescent="0.25">
      <c r="C45" s="175" t="s">
        <v>386</v>
      </c>
      <c r="D45" s="160">
        <f t="shared" si="12"/>
        <v>5.6828500994441722</v>
      </c>
      <c r="E45" s="160">
        <f t="shared" si="12"/>
        <v>4.7919226493231486</v>
      </c>
      <c r="F45" s="160">
        <f t="shared" si="12"/>
        <v>1.8773338159455517</v>
      </c>
      <c r="G45" s="160">
        <f t="shared" si="12"/>
        <v>0.2821971377740416</v>
      </c>
      <c r="H45" s="162" t="s">
        <v>290</v>
      </c>
    </row>
    <row r="46" spans="3:12" x14ac:dyDescent="0.25">
      <c r="C46" s="175" t="s">
        <v>388</v>
      </c>
      <c r="D46" s="160">
        <f>D42*D8/1000000</f>
        <v>0</v>
      </c>
      <c r="E46" s="160">
        <f>E42*E8/1000000</f>
        <v>0</v>
      </c>
      <c r="F46" s="160">
        <f>F42*F8/1000000</f>
        <v>0</v>
      </c>
      <c r="G46" s="160">
        <f>G42*G8/1000000</f>
        <v>0</v>
      </c>
      <c r="H46" s="162" t="s">
        <v>389</v>
      </c>
    </row>
    <row r="47" spans="3:12" x14ac:dyDescent="0.25">
      <c r="C47" s="175" t="s">
        <v>390</v>
      </c>
      <c r="D47" s="160">
        <f>D44+D45</f>
        <v>-1.4585981921906708</v>
      </c>
      <c r="E47" s="160">
        <f t="shared" ref="E47:G47" si="13">E44+E45</f>
        <v>-1.2299268133262746</v>
      </c>
      <c r="F47" s="160">
        <f t="shared" si="13"/>
        <v>-0.92047477860811489</v>
      </c>
      <c r="G47" s="160">
        <f t="shared" si="13"/>
        <v>-0.79129136509279308</v>
      </c>
      <c r="H47" s="162" t="s">
        <v>291</v>
      </c>
    </row>
    <row r="48" spans="3:12" x14ac:dyDescent="0.25">
      <c r="C48" s="175" t="s">
        <v>391</v>
      </c>
      <c r="D48" s="160">
        <f>D44+D46</f>
        <v>-7.141448291634843</v>
      </c>
      <c r="E48" s="160">
        <f t="shared" ref="E48:G48" si="14">E44+E46</f>
        <v>-6.0218494626494232</v>
      </c>
      <c r="F48" s="160">
        <f t="shared" si="14"/>
        <v>-2.7978085945536666</v>
      </c>
      <c r="G48" s="160">
        <f t="shared" si="14"/>
        <v>-1.0734885028668346</v>
      </c>
      <c r="H48" s="162" t="s">
        <v>291</v>
      </c>
    </row>
    <row r="49" spans="1:8" ht="30" x14ac:dyDescent="0.25">
      <c r="C49" s="19" t="s">
        <v>392</v>
      </c>
      <c r="D49" s="12">
        <f>IF(D47&gt;0,"NA",-ROUND(D47,0))</f>
        <v>1</v>
      </c>
      <c r="E49" s="12">
        <f t="shared" ref="E49:G50" si="15">IF(E47&gt;0,"NA",-ROUND(E47,0))</f>
        <v>1</v>
      </c>
      <c r="F49" s="12">
        <f t="shared" si="15"/>
        <v>1</v>
      </c>
      <c r="G49" s="12">
        <f t="shared" si="15"/>
        <v>1</v>
      </c>
      <c r="H49" s="6"/>
    </row>
    <row r="50" spans="1:8" x14ac:dyDescent="0.25">
      <c r="C50" s="19" t="s">
        <v>393</v>
      </c>
      <c r="D50" s="12">
        <f>IF(D48&gt;0,"NA",-ROUND(D48,0))</f>
        <v>7</v>
      </c>
      <c r="E50" s="12">
        <f t="shared" si="15"/>
        <v>6</v>
      </c>
      <c r="F50" s="12">
        <f t="shared" si="15"/>
        <v>3</v>
      </c>
      <c r="G50" s="12">
        <f t="shared" si="15"/>
        <v>1</v>
      </c>
      <c r="H50" s="6"/>
    </row>
    <row r="51" spans="1:8" x14ac:dyDescent="0.25">
      <c r="C51" s="6"/>
      <c r="D51" s="3"/>
      <c r="E51" s="3"/>
      <c r="F51" s="3"/>
      <c r="G51" s="3"/>
      <c r="H51" s="6"/>
    </row>
    <row r="52" spans="1:8" ht="15.75" thickBot="1" x14ac:dyDescent="0.3">
      <c r="C52" s="53" t="s">
        <v>292</v>
      </c>
      <c r="D52" s="98"/>
      <c r="E52" s="98"/>
      <c r="F52" s="98"/>
      <c r="G52" s="98"/>
      <c r="H52" s="99" t="s">
        <v>293</v>
      </c>
    </row>
    <row r="53" spans="1:8" x14ac:dyDescent="0.25">
      <c r="C53" s="6" t="s">
        <v>294</v>
      </c>
      <c r="D53" s="3">
        <v>15</v>
      </c>
      <c r="E53" s="3"/>
      <c r="F53" s="3"/>
      <c r="G53" s="3"/>
      <c r="H53" s="6" t="s">
        <v>295</v>
      </c>
    </row>
    <row r="54" spans="1:8" ht="45" x14ac:dyDescent="0.25">
      <c r="C54" s="6" t="s">
        <v>296</v>
      </c>
      <c r="D54" s="7">
        <v>3000</v>
      </c>
      <c r="E54" s="3"/>
      <c r="F54" s="3"/>
      <c r="G54" s="3"/>
      <c r="H54" s="6" t="s">
        <v>297</v>
      </c>
    </row>
    <row r="55" spans="1:8" x14ac:dyDescent="0.25">
      <c r="C55" s="6" t="s">
        <v>298</v>
      </c>
      <c r="D55" s="59">
        <f>-$D53*$D54*D6/1000000</f>
        <v>-13.638840238666013</v>
      </c>
      <c r="E55" s="59">
        <f>-$D53*$D54*E6/1000000</f>
        <v>-11.500614358375557</v>
      </c>
      <c r="F55" s="59">
        <f>-$D53*$D54*F6/1000000</f>
        <v>-5.3432949285905567</v>
      </c>
      <c r="G55" s="59">
        <f>-$D53*$D54*G6/1000000</f>
        <v>-2.0501637190029731</v>
      </c>
      <c r="H55" s="6"/>
    </row>
    <row r="56" spans="1:8" x14ac:dyDescent="0.25">
      <c r="C56" s="6" t="s">
        <v>299</v>
      </c>
      <c r="D56" s="12">
        <f>IF(D55&gt;0,"NA",-ROUND(D55,0))</f>
        <v>14</v>
      </c>
      <c r="E56" s="12">
        <f t="shared" ref="E56:G56" si="16">IF(E55&gt;0,"NA",-ROUND(E55,0))</f>
        <v>12</v>
      </c>
      <c r="F56" s="12">
        <f t="shared" si="16"/>
        <v>5</v>
      </c>
      <c r="G56" s="12">
        <f t="shared" si="16"/>
        <v>2</v>
      </c>
      <c r="H56" s="6"/>
    </row>
    <row r="58" spans="1:8" ht="15.75" thickBot="1" x14ac:dyDescent="0.3">
      <c r="A58" s="193"/>
      <c r="C58" s="53" t="s">
        <v>481</v>
      </c>
      <c r="D58" s="98"/>
      <c r="E58" s="98"/>
      <c r="F58" s="98"/>
      <c r="G58" s="98"/>
      <c r="H58" s="99" t="s">
        <v>486</v>
      </c>
    </row>
    <row r="59" spans="1:8" ht="30" x14ac:dyDescent="0.25">
      <c r="A59" s="193"/>
      <c r="C59" s="6" t="s">
        <v>484</v>
      </c>
      <c r="D59" s="3">
        <f>-D10*2</f>
        <v>-25.4</v>
      </c>
      <c r="E59" s="3"/>
      <c r="F59" s="3"/>
      <c r="G59" s="3"/>
      <c r="H59" s="33" t="s">
        <v>491</v>
      </c>
    </row>
    <row r="60" spans="1:8" ht="45" x14ac:dyDescent="0.25">
      <c r="A60" s="193"/>
      <c r="C60" s="6" t="s">
        <v>482</v>
      </c>
      <c r="D60" s="58">
        <v>0.41</v>
      </c>
      <c r="E60" s="3"/>
      <c r="F60" s="3"/>
      <c r="G60" s="3"/>
      <c r="H60" s="6" t="s">
        <v>487</v>
      </c>
    </row>
    <row r="61" spans="1:8" ht="45" x14ac:dyDescent="0.25">
      <c r="A61" s="193"/>
      <c r="C61" s="6" t="s">
        <v>485</v>
      </c>
      <c r="D61" s="7">
        <f>D59*48*(1-$D60)</f>
        <v>-719.32799999999997</v>
      </c>
      <c r="E61" s="3"/>
      <c r="F61" s="3"/>
      <c r="G61" s="3"/>
      <c r="H61" s="33" t="s">
        <v>490</v>
      </c>
    </row>
    <row r="62" spans="1:8" ht="45" x14ac:dyDescent="0.25">
      <c r="A62" s="193"/>
      <c r="C62" s="6" t="s">
        <v>483</v>
      </c>
      <c r="D62" s="59">
        <f>$D61*D6*100/1000000</f>
        <v>-21.801777047109212</v>
      </c>
      <c r="E62" s="59">
        <f t="shared" ref="E62:G62" si="17">$D61*E6*100/1000000</f>
        <v>-18.383808722625716</v>
      </c>
      <c r="F62" s="59">
        <f t="shared" si="17"/>
        <v>-8.5412925653181944</v>
      </c>
      <c r="G62" s="59">
        <f t="shared" si="17"/>
        <v>-3.2772003725843795</v>
      </c>
      <c r="H62" s="33" t="s">
        <v>492</v>
      </c>
    </row>
    <row r="63" spans="1:8" ht="30" x14ac:dyDescent="0.25">
      <c r="A63" s="193"/>
      <c r="C63" s="6" t="s">
        <v>545</v>
      </c>
      <c r="D63" s="12">
        <f>IF(D62&gt;0,"NA",-ROUND(D62,0))</f>
        <v>22</v>
      </c>
      <c r="E63" s="12">
        <f t="shared" ref="E63:G63" si="18">IF(E62&gt;0,"NA",-ROUND(E62,0))</f>
        <v>18</v>
      </c>
      <c r="F63" s="12">
        <f t="shared" si="18"/>
        <v>9</v>
      </c>
      <c r="G63" s="12">
        <f t="shared" si="18"/>
        <v>3</v>
      </c>
      <c r="H63" s="6"/>
    </row>
    <row r="65" spans="1:8" ht="15.75" thickBot="1" x14ac:dyDescent="0.3">
      <c r="A65" s="193"/>
      <c r="C65" s="53" t="s">
        <v>536</v>
      </c>
      <c r="D65" s="98"/>
      <c r="E65" s="98"/>
      <c r="F65" s="98"/>
      <c r="G65" s="98"/>
      <c r="H65" s="99" t="s">
        <v>537</v>
      </c>
    </row>
    <row r="66" spans="1:8" x14ac:dyDescent="0.25">
      <c r="A66" s="193"/>
      <c r="C66" s="6" t="s">
        <v>538</v>
      </c>
      <c r="D66" s="58">
        <v>0.31794114652275735</v>
      </c>
      <c r="E66" s="178"/>
      <c r="F66" s="178"/>
      <c r="G66" s="178"/>
      <c r="H66" s="3" t="s">
        <v>540</v>
      </c>
    </row>
    <row r="67" spans="1:8" ht="30" x14ac:dyDescent="0.25">
      <c r="A67" s="193"/>
      <c r="C67" s="6" t="s">
        <v>542</v>
      </c>
      <c r="D67" s="58">
        <v>-0.1</v>
      </c>
      <c r="E67" s="178"/>
      <c r="F67" s="178"/>
      <c r="G67" s="178"/>
      <c r="H67" s="3" t="s">
        <v>171</v>
      </c>
    </row>
    <row r="68" spans="1:8" x14ac:dyDescent="0.25">
      <c r="A68" s="193"/>
      <c r="C68" s="6" t="s">
        <v>539</v>
      </c>
      <c r="D68" s="58">
        <f>5774/19642</f>
        <v>0.29396191833825475</v>
      </c>
      <c r="E68" s="178"/>
      <c r="F68" s="178"/>
      <c r="G68" s="178"/>
      <c r="H68" s="3" t="s">
        <v>540</v>
      </c>
    </row>
    <row r="69" spans="1:8" ht="30" x14ac:dyDescent="0.25">
      <c r="A69" s="193"/>
      <c r="C69" s="6" t="s">
        <v>548</v>
      </c>
      <c r="D69" s="58">
        <v>-0.12</v>
      </c>
      <c r="E69" s="178"/>
      <c r="F69" s="178"/>
      <c r="G69" s="178"/>
      <c r="H69" s="3" t="s">
        <v>547</v>
      </c>
    </row>
    <row r="70" spans="1:8" ht="30" x14ac:dyDescent="0.25">
      <c r="A70" s="193"/>
      <c r="C70" s="6" t="s">
        <v>541</v>
      </c>
      <c r="D70" s="7">
        <f>'Land Use'!D10*(TDM!D66*TDM!D67+TDM!D68*TDM!D69)</f>
        <v>-1317.38</v>
      </c>
      <c r="E70" s="178"/>
      <c r="F70" s="178"/>
      <c r="G70" s="178"/>
      <c r="H70" s="33" t="s">
        <v>546</v>
      </c>
    </row>
    <row r="71" spans="1:8" ht="45" x14ac:dyDescent="0.25">
      <c r="A71" s="193"/>
      <c r="C71" s="6" t="s">
        <v>543</v>
      </c>
      <c r="D71" s="59">
        <f>$D70*D6*100/1000000</f>
        <v>-39.927856341364077</v>
      </c>
      <c r="E71" s="59">
        <f t="shared" ref="E71:G71" si="19">$D70*E6*100/1000000</f>
        <v>-33.668176318748422</v>
      </c>
      <c r="F71" s="59">
        <f t="shared" si="19"/>
        <v>-15.642555273392508</v>
      </c>
      <c r="G71" s="59">
        <f t="shared" si="19"/>
        <v>-6.0018770669780821</v>
      </c>
      <c r="H71" s="33" t="s">
        <v>492</v>
      </c>
    </row>
    <row r="72" spans="1:8" ht="30" x14ac:dyDescent="0.25">
      <c r="A72" s="193"/>
      <c r="C72" s="6" t="s">
        <v>544</v>
      </c>
      <c r="D72" s="12">
        <f>IF(D71&gt;0,"NA",-ROUND(D71,0))</f>
        <v>40</v>
      </c>
      <c r="E72" s="12">
        <f t="shared" ref="E72:G72" si="20">IF(E71&gt;0,"NA",-ROUND(E71,0))</f>
        <v>34</v>
      </c>
      <c r="F72" s="12">
        <f t="shared" si="20"/>
        <v>16</v>
      </c>
      <c r="G72" s="12">
        <f t="shared" si="20"/>
        <v>6</v>
      </c>
      <c r="H72" s="6"/>
    </row>
  </sheetData>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72316-2904-496E-B529-D9705EFBE597}">
  <dimension ref="A1:R59"/>
  <sheetViews>
    <sheetView zoomScaleNormal="100" workbookViewId="0">
      <pane ySplit="3" topLeftCell="A7" activePane="bottomLeft" state="frozen"/>
      <selection pane="bottomLeft" activeCell="K30" sqref="K30"/>
    </sheetView>
  </sheetViews>
  <sheetFormatPr defaultRowHeight="15" x14ac:dyDescent="0.25"/>
  <cols>
    <col min="1" max="1" width="2.5703125" style="169" customWidth="1"/>
    <col min="2" max="2" width="4.42578125" style="3" customWidth="1"/>
    <col min="3" max="3" width="36.140625" style="2" customWidth="1"/>
    <col min="4" max="4" width="10.5703125" customWidth="1"/>
    <col min="5" max="7" width="9.7109375" customWidth="1"/>
    <col min="8" max="8" width="50.42578125" style="2" customWidth="1"/>
    <col min="12" max="13" width="9" bestFit="1" customWidth="1"/>
    <col min="14" max="15" width="8.7109375" bestFit="1" customWidth="1"/>
    <col min="16" max="17" width="8.42578125" customWidth="1"/>
  </cols>
  <sheetData>
    <row r="1" spans="2:8" ht="15.75" thickTop="1" x14ac:dyDescent="0.25">
      <c r="B1" s="27" t="s">
        <v>127</v>
      </c>
      <c r="C1" s="27"/>
      <c r="D1" s="27"/>
      <c r="E1" s="27"/>
      <c r="F1" s="28"/>
      <c r="G1" s="28"/>
      <c r="H1" s="29"/>
    </row>
    <row r="2" spans="2:8" x14ac:dyDescent="0.25">
      <c r="D2" s="1" t="s">
        <v>1</v>
      </c>
      <c r="E2" s="1"/>
      <c r="F2" s="1"/>
      <c r="G2" s="1"/>
    </row>
    <row r="3" spans="2:8" ht="15.75" thickBot="1" x14ac:dyDescent="0.3">
      <c r="B3" s="34" t="s">
        <v>2</v>
      </c>
      <c r="C3" s="17" t="s">
        <v>3</v>
      </c>
      <c r="D3" s="13">
        <v>2025</v>
      </c>
      <c r="E3" s="13">
        <v>2030</v>
      </c>
      <c r="F3" s="13">
        <v>2040</v>
      </c>
      <c r="G3" s="13">
        <v>2050</v>
      </c>
      <c r="H3" s="17" t="s">
        <v>61</v>
      </c>
    </row>
    <row r="4" spans="2:8" ht="15.75" thickTop="1" x14ac:dyDescent="0.25">
      <c r="B4" s="35"/>
      <c r="C4" s="14" t="s">
        <v>6</v>
      </c>
      <c r="D4" s="14"/>
      <c r="E4" s="14"/>
      <c r="F4" s="15"/>
      <c r="G4" s="15"/>
      <c r="H4" s="16"/>
    </row>
    <row r="5" spans="2:8" x14ac:dyDescent="0.25">
      <c r="C5" s="6" t="s">
        <v>8</v>
      </c>
      <c r="D5" s="7">
        <f>[1]EF!$T$3</f>
        <v>313.47753808426404</v>
      </c>
      <c r="E5" s="7">
        <f>[1]EF!$Y$3</f>
        <v>255.56920796390125</v>
      </c>
      <c r="F5" s="7">
        <f>[1]EF!$AI$3</f>
        <v>118.73988730201238</v>
      </c>
      <c r="G5" s="7">
        <f>[1]EF!$AS$3</f>
        <v>45.559193755621628</v>
      </c>
      <c r="H5" s="6" t="s">
        <v>9</v>
      </c>
    </row>
    <row r="6" spans="2:8" ht="30" x14ac:dyDescent="0.25">
      <c r="C6" s="6" t="s">
        <v>300</v>
      </c>
      <c r="D6" s="7">
        <f>[2]Baseline!$S$105*1000</f>
        <v>1306.7405703134523</v>
      </c>
      <c r="E6" s="7">
        <f>[2]Baseline!$X$105*1000</f>
        <v>1198.8356512547828</v>
      </c>
      <c r="F6" s="7">
        <f>[2]Baseline!$AH$105*1000</f>
        <v>1074.2545022435372</v>
      </c>
      <c r="G6" s="7">
        <f>F6</f>
        <v>1074.2545022435372</v>
      </c>
      <c r="H6" s="6" t="s">
        <v>301</v>
      </c>
    </row>
    <row r="7" spans="2:8" ht="30" x14ac:dyDescent="0.25">
      <c r="C7" s="6" t="s">
        <v>302</v>
      </c>
      <c r="D7" s="58">
        <v>0.21</v>
      </c>
      <c r="E7" s="66"/>
      <c r="F7" s="66"/>
      <c r="G7" s="66"/>
      <c r="H7" s="6" t="s">
        <v>303</v>
      </c>
    </row>
    <row r="8" spans="2:8" ht="45" x14ac:dyDescent="0.25">
      <c r="C8" s="3" t="s">
        <v>304</v>
      </c>
      <c r="D8" s="4">
        <f>[2]System!$Z$14*1000</f>
        <v>3.4569714767390449</v>
      </c>
      <c r="E8" s="4">
        <f>$D8*((1-$D7)*E5/$D5+$D7*E6/$D6)</f>
        <v>2.8925288069623218</v>
      </c>
      <c r="F8" s="4">
        <f t="shared" ref="F8:G8" si="0">$D8*((1-$D7)*F5/$D5+$D7*F6/$D6)</f>
        <v>1.631264160193314</v>
      </c>
      <c r="G8" s="4">
        <f t="shared" si="0"/>
        <v>0.99371602290322769</v>
      </c>
      <c r="H8" s="6" t="s">
        <v>305</v>
      </c>
    </row>
    <row r="9" spans="2:8" ht="15.75" thickBot="1" x14ac:dyDescent="0.3"/>
    <row r="10" spans="2:8" ht="15.75" thickTop="1" x14ac:dyDescent="0.25">
      <c r="B10" s="35"/>
      <c r="C10" s="14" t="s">
        <v>306</v>
      </c>
      <c r="D10" s="14"/>
      <c r="E10" s="14"/>
      <c r="F10" s="15"/>
      <c r="G10" s="15"/>
      <c r="H10" s="70" t="s">
        <v>307</v>
      </c>
    </row>
    <row r="11" spans="2:8" x14ac:dyDescent="0.25">
      <c r="C11" s="3" t="s">
        <v>308</v>
      </c>
      <c r="D11" s="4">
        <v>1</v>
      </c>
      <c r="E11" s="3"/>
      <c r="F11" s="3"/>
      <c r="G11" s="3"/>
      <c r="H11" s="6" t="s">
        <v>171</v>
      </c>
    </row>
    <row r="12" spans="2:8" x14ac:dyDescent="0.25">
      <c r="C12" s="3" t="s">
        <v>309</v>
      </c>
      <c r="D12" s="4">
        <v>2</v>
      </c>
      <c r="E12" s="3"/>
      <c r="F12" s="3"/>
      <c r="G12" s="3"/>
      <c r="H12" s="6" t="s">
        <v>171</v>
      </c>
    </row>
    <row r="13" spans="2:8" x14ac:dyDescent="0.25">
      <c r="C13" s="3" t="s">
        <v>310</v>
      </c>
      <c r="D13" s="4">
        <v>20</v>
      </c>
      <c r="E13" s="3"/>
      <c r="F13" s="3"/>
      <c r="G13" s="3"/>
      <c r="H13" s="6" t="s">
        <v>171</v>
      </c>
    </row>
    <row r="14" spans="2:8" ht="45" x14ac:dyDescent="0.25">
      <c r="C14" s="3" t="s">
        <v>419</v>
      </c>
      <c r="D14" s="8">
        <v>-0.12</v>
      </c>
      <c r="E14" s="3"/>
      <c r="F14" s="3"/>
      <c r="G14" s="3"/>
      <c r="H14" s="6" t="s">
        <v>311</v>
      </c>
    </row>
    <row r="15" spans="2:8" x14ac:dyDescent="0.25">
      <c r="C15" s="3" t="s">
        <v>312</v>
      </c>
      <c r="D15" s="4">
        <f>D13/(1+D14)</f>
        <v>22.727272727272727</v>
      </c>
      <c r="E15" s="3"/>
      <c r="F15" s="3"/>
      <c r="G15" s="3"/>
      <c r="H15" s="6" t="s">
        <v>313</v>
      </c>
    </row>
    <row r="16" spans="2:8" ht="30" x14ac:dyDescent="0.25">
      <c r="C16" s="6" t="s">
        <v>314</v>
      </c>
      <c r="D16" s="60">
        <v>10000</v>
      </c>
      <c r="E16" s="3"/>
      <c r="F16" s="3"/>
      <c r="G16" s="3"/>
      <c r="H16" s="6" t="s">
        <v>171</v>
      </c>
    </row>
    <row r="17" spans="2:18" x14ac:dyDescent="0.25">
      <c r="C17" s="3" t="s">
        <v>315</v>
      </c>
      <c r="D17" s="3">
        <f>-(D11/D13)+(D11/D15)</f>
        <v>-5.9999999999999984E-3</v>
      </c>
      <c r="E17" s="3"/>
      <c r="F17" s="3"/>
      <c r="G17" s="3"/>
      <c r="H17" s="6" t="s">
        <v>313</v>
      </c>
    </row>
    <row r="18" spans="2:18" x14ac:dyDescent="0.25">
      <c r="C18" s="3" t="s">
        <v>316</v>
      </c>
      <c r="D18" s="59">
        <f>D17*D16</f>
        <v>-59.999999999999986</v>
      </c>
      <c r="E18" s="3"/>
      <c r="F18" s="3"/>
      <c r="G18" s="3"/>
      <c r="H18" s="6" t="s">
        <v>313</v>
      </c>
    </row>
    <row r="19" spans="2:18" ht="45" x14ac:dyDescent="0.25">
      <c r="C19" s="156" t="s">
        <v>418</v>
      </c>
      <c r="D19" s="157">
        <v>-0.3</v>
      </c>
      <c r="E19" s="157"/>
      <c r="F19" s="157"/>
      <c r="G19" s="157"/>
      <c r="H19" s="156" t="s">
        <v>426</v>
      </c>
    </row>
    <row r="20" spans="2:18" ht="30" x14ac:dyDescent="0.25">
      <c r="C20" s="156" t="s">
        <v>423</v>
      </c>
      <c r="D20" s="158">
        <f>D16+D16*D14*D19</f>
        <v>10360</v>
      </c>
      <c r="E20" s="157"/>
      <c r="F20" s="157"/>
      <c r="G20" s="157"/>
      <c r="H20" s="162" t="s">
        <v>500</v>
      </c>
    </row>
    <row r="21" spans="2:18" x14ac:dyDescent="0.25">
      <c r="C21" s="157" t="s">
        <v>317</v>
      </c>
      <c r="D21" s="158"/>
      <c r="E21" s="157"/>
      <c r="F21" s="157"/>
      <c r="G21" s="157"/>
      <c r="H21" s="156"/>
    </row>
    <row r="22" spans="2:18" x14ac:dyDescent="0.25">
      <c r="C22" s="159" t="s">
        <v>420</v>
      </c>
      <c r="D22" s="160">
        <f>$D18*365*D8/1000</f>
        <v>-75.70767534058507</v>
      </c>
      <c r="E22" s="160">
        <f t="shared" ref="E22:G22" si="1">$D18*365*E8/1000</f>
        <v>-63.346380872474839</v>
      </c>
      <c r="F22" s="160">
        <f t="shared" si="1"/>
        <v>-35.724685108233572</v>
      </c>
      <c r="G22" s="160">
        <f t="shared" si="1"/>
        <v>-21.762380901580684</v>
      </c>
      <c r="H22" s="162" t="s">
        <v>501</v>
      </c>
    </row>
    <row r="23" spans="2:18" ht="30" x14ac:dyDescent="0.25">
      <c r="C23" s="159" t="s">
        <v>421</v>
      </c>
      <c r="D23" s="160">
        <f>($D20-$D16)*$D11/$D12*D5*365/1000000</f>
        <v>20.59547425213615</v>
      </c>
      <c r="E23" s="160">
        <f t="shared" ref="E23:G23" si="2">($D20-$D16)*$D11/$D12*E5*365/1000000</f>
        <v>16.790896963228313</v>
      </c>
      <c r="F23" s="160">
        <f t="shared" si="2"/>
        <v>7.801210595742214</v>
      </c>
      <c r="G23" s="160">
        <f t="shared" si="2"/>
        <v>2.9932390297443412</v>
      </c>
      <c r="H23" s="162" t="s">
        <v>502</v>
      </c>
    </row>
    <row r="24" spans="2:18" x14ac:dyDescent="0.25">
      <c r="C24" s="159" t="s">
        <v>422</v>
      </c>
      <c r="D24" s="160">
        <f>D22+D23</f>
        <v>-55.11220108844892</v>
      </c>
      <c r="E24" s="160">
        <f t="shared" ref="E24:G24" si="3">E22+E23</f>
        <v>-46.555483909246526</v>
      </c>
      <c r="F24" s="160">
        <f t="shared" si="3"/>
        <v>-27.92347451249136</v>
      </c>
      <c r="G24" s="160">
        <f t="shared" si="3"/>
        <v>-18.769141871836343</v>
      </c>
      <c r="H24" s="156"/>
    </row>
    <row r="25" spans="2:18" x14ac:dyDescent="0.25">
      <c r="C25" s="3" t="s">
        <v>318</v>
      </c>
      <c r="D25" s="51">
        <f>-ROUND(D24,0)</f>
        <v>55</v>
      </c>
      <c r="E25" s="51">
        <f t="shared" ref="E25:G25" si="4">-ROUND(E24,0)</f>
        <v>47</v>
      </c>
      <c r="F25" s="51">
        <f t="shared" si="4"/>
        <v>28</v>
      </c>
      <c r="G25" s="51">
        <f t="shared" si="4"/>
        <v>19</v>
      </c>
      <c r="H25" s="6"/>
    </row>
    <row r="26" spans="2:18" ht="15.75" thickBot="1" x14ac:dyDescent="0.3">
      <c r="C26" s="6"/>
      <c r="D26" s="7"/>
      <c r="E26" s="7"/>
      <c r="F26" s="7"/>
      <c r="G26" s="7"/>
      <c r="H26" s="6"/>
    </row>
    <row r="27" spans="2:18" ht="15.75" thickTop="1" x14ac:dyDescent="0.25">
      <c r="B27" s="35"/>
      <c r="C27" s="14" t="s">
        <v>319</v>
      </c>
      <c r="D27" s="14"/>
      <c r="E27" s="14"/>
      <c r="F27" s="15"/>
      <c r="G27" s="15"/>
      <c r="H27" s="70" t="s">
        <v>429</v>
      </c>
    </row>
    <row r="28" spans="2:18" ht="45" hidden="1" x14ac:dyDescent="0.25">
      <c r="C28" s="6" t="s">
        <v>320</v>
      </c>
      <c r="D28" s="136">
        <f>189*0.78</f>
        <v>147.42000000000002</v>
      </c>
      <c r="E28" s="59">
        <f>D28*E25/D$25</f>
        <v>125.97709090909092</v>
      </c>
      <c r="F28" s="59">
        <f t="shared" ref="F28:G28" si="5">E28*F25/E$25</f>
        <v>75.050181818181812</v>
      </c>
      <c r="G28" s="59">
        <f t="shared" si="5"/>
        <v>50.926909090909085</v>
      </c>
      <c r="H28" s="6" t="s">
        <v>321</v>
      </c>
    </row>
    <row r="29" spans="2:18" hidden="1" x14ac:dyDescent="0.25">
      <c r="C29" s="6" t="s">
        <v>322</v>
      </c>
      <c r="D29" s="12">
        <f>ROUND(D28,0)</f>
        <v>147</v>
      </c>
      <c r="E29" s="12">
        <f>ROUND(E28,0)</f>
        <v>126</v>
      </c>
      <c r="F29" s="12">
        <f>ROUND(F28,0)</f>
        <v>75</v>
      </c>
      <c r="G29" s="12">
        <f>ROUND(G28,0)</f>
        <v>51</v>
      </c>
      <c r="H29" s="6"/>
    </row>
    <row r="30" spans="2:18" ht="30" x14ac:dyDescent="0.25">
      <c r="C30" s="156" t="s">
        <v>443</v>
      </c>
      <c r="D30" s="161">
        <f>R35*(0.4/0.51)</f>
        <v>-6.6562866879344137E-2</v>
      </c>
      <c r="E30" s="158"/>
      <c r="F30" s="158"/>
      <c r="G30" s="158"/>
      <c r="H30" s="156" t="s">
        <v>447</v>
      </c>
      <c r="K30" s="1" t="s">
        <v>438</v>
      </c>
      <c r="M30" t="s">
        <v>439</v>
      </c>
    </row>
    <row r="31" spans="2:18" x14ac:dyDescent="0.25">
      <c r="C31" s="156" t="s">
        <v>444</v>
      </c>
      <c r="D31" s="158">
        <f>10000*365</f>
        <v>3650000</v>
      </c>
      <c r="E31" s="158"/>
      <c r="F31" s="158"/>
      <c r="G31" s="158"/>
      <c r="H31" s="162" t="s">
        <v>503</v>
      </c>
      <c r="L31" t="s">
        <v>433</v>
      </c>
      <c r="N31" t="s">
        <v>432</v>
      </c>
      <c r="P31" t="s">
        <v>442</v>
      </c>
    </row>
    <row r="32" spans="2:18" x14ac:dyDescent="0.25">
      <c r="C32" s="156" t="s">
        <v>441</v>
      </c>
      <c r="D32" s="158">
        <f>D30*D31/1000</f>
        <v>-242.95446410960611</v>
      </c>
      <c r="E32" s="158">
        <f>D32*E25/$D25</f>
        <v>-207.61563296639065</v>
      </c>
      <c r="F32" s="158">
        <f t="shared" ref="F32:G32" si="6">E32*F25/$D25</f>
        <v>-105.69523132834433</v>
      </c>
      <c r="G32" s="158">
        <f t="shared" si="6"/>
        <v>-36.512898095246221</v>
      </c>
      <c r="H32" s="162" t="s">
        <v>504</v>
      </c>
      <c r="K32" t="s">
        <v>440</v>
      </c>
      <c r="L32" s="147" t="s">
        <v>434</v>
      </c>
      <c r="M32" s="147" t="s">
        <v>435</v>
      </c>
      <c r="N32" s="147" t="s">
        <v>434</v>
      </c>
      <c r="O32" s="147" t="s">
        <v>435</v>
      </c>
      <c r="P32" s="147" t="s">
        <v>434</v>
      </c>
      <c r="Q32" s="147" t="s">
        <v>435</v>
      </c>
      <c r="R32" s="147" t="s">
        <v>436</v>
      </c>
    </row>
    <row r="33" spans="3:18" ht="30" x14ac:dyDescent="0.25">
      <c r="C33" s="156" t="s">
        <v>445</v>
      </c>
      <c r="D33" s="51">
        <f>-ROUND(D32,0)</f>
        <v>243</v>
      </c>
      <c r="E33" s="51">
        <f t="shared" ref="E33:G33" si="7">-ROUND(E32,0)</f>
        <v>208</v>
      </c>
      <c r="F33" s="51">
        <f t="shared" si="7"/>
        <v>106</v>
      </c>
      <c r="G33" s="51">
        <f t="shared" si="7"/>
        <v>37</v>
      </c>
      <c r="H33" s="156"/>
      <c r="K33" t="s">
        <v>430</v>
      </c>
      <c r="L33" s="68">
        <v>1334</v>
      </c>
      <c r="M33" s="68">
        <v>1259</v>
      </c>
      <c r="N33" s="68">
        <v>340</v>
      </c>
      <c r="O33" s="68">
        <v>216</v>
      </c>
      <c r="P33" s="146">
        <f>N33/L33</f>
        <v>0.25487256371814093</v>
      </c>
      <c r="Q33" s="146">
        <f>O33/M33</f>
        <v>0.17156473391580621</v>
      </c>
      <c r="R33" s="144">
        <f>Q33-P33</f>
        <v>-8.3307829802334726E-2</v>
      </c>
    </row>
    <row r="34" spans="3:18" x14ac:dyDescent="0.25">
      <c r="C34" s="6"/>
      <c r="D34" s="59"/>
      <c r="E34" s="59"/>
      <c r="F34" s="59"/>
      <c r="G34" s="59"/>
      <c r="H34" s="6"/>
      <c r="K34" t="s">
        <v>431</v>
      </c>
      <c r="L34" s="68">
        <v>1139</v>
      </c>
      <c r="M34" s="68">
        <v>1066</v>
      </c>
      <c r="N34" s="68">
        <v>310</v>
      </c>
      <c r="O34" s="68">
        <v>198</v>
      </c>
      <c r="P34" s="146">
        <f>N34/L34</f>
        <v>0.27216856892010538</v>
      </c>
      <c r="Q34" s="146">
        <f>O34/M34</f>
        <v>0.18574108818011256</v>
      </c>
      <c r="R34" s="144">
        <f>Q34-P34</f>
        <v>-8.6427480739992818E-2</v>
      </c>
    </row>
    <row r="35" spans="3:18" x14ac:dyDescent="0.25">
      <c r="D35" s="68"/>
      <c r="H35"/>
      <c r="K35" t="s">
        <v>437</v>
      </c>
      <c r="P35" s="144"/>
      <c r="Q35" s="144"/>
      <c r="R35" s="144">
        <f>AVERAGE(R33:R34)</f>
        <v>-8.4867655271163772E-2</v>
      </c>
    </row>
    <row r="36" spans="3:18" x14ac:dyDescent="0.25">
      <c r="D36" s="82"/>
      <c r="H36"/>
    </row>
    <row r="37" spans="3:18" x14ac:dyDescent="0.25">
      <c r="H37"/>
    </row>
    <row r="38" spans="3:18" x14ac:dyDescent="0.25">
      <c r="H38"/>
    </row>
    <row r="39" spans="3:18" x14ac:dyDescent="0.25">
      <c r="H39"/>
    </row>
    <row r="40" spans="3:18" x14ac:dyDescent="0.25">
      <c r="H40"/>
    </row>
    <row r="55" spans="4:8" x14ac:dyDescent="0.25">
      <c r="D55" s="68">
        <v>20000</v>
      </c>
      <c r="H55" t="s">
        <v>323</v>
      </c>
    </row>
    <row r="56" spans="4:8" x14ac:dyDescent="0.25">
      <c r="D56" s="68">
        <v>189</v>
      </c>
      <c r="H56" t="s">
        <v>324</v>
      </c>
    </row>
    <row r="57" spans="4:8" x14ac:dyDescent="0.25">
      <c r="D57" s="68">
        <f>D55*8.8/1000</f>
        <v>176</v>
      </c>
      <c r="H57" t="s">
        <v>325</v>
      </c>
    </row>
    <row r="58" spans="4:8" x14ac:dyDescent="0.25">
      <c r="D58" s="82">
        <f>0.0936*365</f>
        <v>34.164000000000001</v>
      </c>
      <c r="H58" t="s">
        <v>326</v>
      </c>
    </row>
    <row r="59" spans="4:8" x14ac:dyDescent="0.25">
      <c r="D59">
        <f>122*10*365/1000</f>
        <v>445.3</v>
      </c>
      <c r="H59" t="s">
        <v>327</v>
      </c>
    </row>
  </sheetData>
  <pageMargins left="0.7" right="0.7" top="0.75" bottom="0.75" header="0.3" footer="0.3"/>
  <pageSetup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1F2C0-2E8C-40D2-9029-B58103D0DCB1}">
  <dimension ref="A2:F43"/>
  <sheetViews>
    <sheetView topLeftCell="B1" workbookViewId="0">
      <selection activeCell="F8" sqref="F8"/>
    </sheetView>
  </sheetViews>
  <sheetFormatPr defaultColWidth="8.7109375" defaultRowHeight="15" x14ac:dyDescent="0.25"/>
  <cols>
    <col min="1" max="1" width="8.7109375" style="6"/>
    <col min="2" max="2" width="20.42578125" style="6" customWidth="1"/>
    <col min="3" max="3" width="58.7109375" style="6" customWidth="1"/>
    <col min="4" max="4" width="52.28515625" style="6" customWidth="1"/>
    <col min="5" max="5" width="8.7109375" style="6"/>
    <col min="6" max="6" width="39.28515625" style="6" customWidth="1"/>
    <col min="7" max="16384" width="8.7109375" style="6"/>
  </cols>
  <sheetData>
    <row r="2" spans="1:6" x14ac:dyDescent="0.25">
      <c r="B2" s="65" t="s">
        <v>328</v>
      </c>
      <c r="C2" s="65" t="s">
        <v>329</v>
      </c>
      <c r="D2" s="65" t="s">
        <v>563</v>
      </c>
      <c r="F2" s="34" t="s">
        <v>330</v>
      </c>
    </row>
    <row r="3" spans="1:6" ht="30" x14ac:dyDescent="0.25">
      <c r="B3" s="6" t="s">
        <v>226</v>
      </c>
      <c r="C3" s="6" t="s">
        <v>331</v>
      </c>
      <c r="D3" s="6" t="s">
        <v>564</v>
      </c>
      <c r="F3" s="22" t="s">
        <v>334</v>
      </c>
    </row>
    <row r="4" spans="1:6" ht="30" x14ac:dyDescent="0.25">
      <c r="B4" s="6" t="s">
        <v>332</v>
      </c>
      <c r="C4" s="6" t="s">
        <v>333</v>
      </c>
      <c r="D4" s="186" t="s">
        <v>565</v>
      </c>
      <c r="F4" s="23" t="s">
        <v>337</v>
      </c>
    </row>
    <row r="5" spans="1:6" x14ac:dyDescent="0.25">
      <c r="B5" s="6" t="s">
        <v>335</v>
      </c>
      <c r="C5" s="6" t="s">
        <v>336</v>
      </c>
      <c r="D5" s="186" t="s">
        <v>566</v>
      </c>
      <c r="F5" s="5" t="s">
        <v>340</v>
      </c>
    </row>
    <row r="6" spans="1:6" ht="60" x14ac:dyDescent="0.25">
      <c r="A6" s="163"/>
      <c r="B6" s="156" t="s">
        <v>427</v>
      </c>
      <c r="C6" s="156" t="s">
        <v>428</v>
      </c>
      <c r="D6" s="6" t="s">
        <v>591</v>
      </c>
      <c r="F6" s="181" t="s">
        <v>533</v>
      </c>
    </row>
    <row r="7" spans="1:6" ht="45" x14ac:dyDescent="0.25">
      <c r="B7" s="6" t="s">
        <v>338</v>
      </c>
      <c r="C7" s="6" t="s">
        <v>339</v>
      </c>
      <c r="D7" s="186" t="s">
        <v>590</v>
      </c>
    </row>
    <row r="8" spans="1:6" ht="60" x14ac:dyDescent="0.25">
      <c r="B8" s="6" t="s">
        <v>119</v>
      </c>
      <c r="C8" s="6" t="s">
        <v>341</v>
      </c>
      <c r="D8" s="186" t="s">
        <v>567</v>
      </c>
    </row>
    <row r="9" spans="1:6" ht="45" x14ac:dyDescent="0.25">
      <c r="B9" s="6" t="s">
        <v>342</v>
      </c>
      <c r="C9" s="2" t="s">
        <v>343</v>
      </c>
      <c r="D9" s="186" t="s">
        <v>568</v>
      </c>
    </row>
    <row r="10" spans="1:6" ht="60" x14ac:dyDescent="0.25">
      <c r="B10" s="6" t="s">
        <v>344</v>
      </c>
      <c r="C10" s="2" t="s">
        <v>345</v>
      </c>
      <c r="D10" s="186" t="s">
        <v>569</v>
      </c>
    </row>
    <row r="11" spans="1:6" ht="30" x14ac:dyDescent="0.25">
      <c r="B11" s="6" t="s">
        <v>128</v>
      </c>
      <c r="C11" s="6" t="s">
        <v>592</v>
      </c>
      <c r="D11" s="186" t="s">
        <v>593</v>
      </c>
    </row>
    <row r="12" spans="1:6" ht="60" x14ac:dyDescent="0.25">
      <c r="B12" s="6" t="s">
        <v>346</v>
      </c>
      <c r="C12" s="2" t="s">
        <v>347</v>
      </c>
      <c r="D12" s="186" t="s">
        <v>594</v>
      </c>
    </row>
    <row r="13" spans="1:6" ht="60" x14ac:dyDescent="0.25">
      <c r="A13" s="163"/>
      <c r="B13" s="6" t="s">
        <v>488</v>
      </c>
      <c r="C13" s="6" t="s">
        <v>489</v>
      </c>
    </row>
    <row r="14" spans="1:6" ht="45" x14ac:dyDescent="0.25">
      <c r="B14" s="6" t="s">
        <v>78</v>
      </c>
      <c r="C14" s="6" t="s">
        <v>348</v>
      </c>
      <c r="D14" s="186" t="s">
        <v>570</v>
      </c>
    </row>
    <row r="15" spans="1:6" ht="60" x14ac:dyDescent="0.25">
      <c r="B15" s="6" t="s">
        <v>349</v>
      </c>
      <c r="C15" s="6" t="s">
        <v>350</v>
      </c>
      <c r="D15" s="186" t="s">
        <v>571</v>
      </c>
    </row>
    <row r="16" spans="1:6" ht="60" x14ac:dyDescent="0.25">
      <c r="A16" s="163"/>
      <c r="B16" s="156" t="s">
        <v>438</v>
      </c>
      <c r="C16" s="156" t="s">
        <v>446</v>
      </c>
      <c r="D16" s="6" t="s">
        <v>589</v>
      </c>
    </row>
    <row r="17" spans="2:4" ht="30" x14ac:dyDescent="0.25">
      <c r="B17" s="6" t="s">
        <v>351</v>
      </c>
      <c r="C17" s="6" t="s">
        <v>352</v>
      </c>
      <c r="D17" s="186" t="s">
        <v>572</v>
      </c>
    </row>
    <row r="18" spans="2:4" ht="30" x14ac:dyDescent="0.25">
      <c r="B18" s="6" t="s">
        <v>353</v>
      </c>
      <c r="C18" s="6" t="s">
        <v>354</v>
      </c>
      <c r="D18" s="186" t="s">
        <v>573</v>
      </c>
    </row>
    <row r="19" spans="2:4" ht="45" x14ac:dyDescent="0.25">
      <c r="B19" s="6" t="s">
        <v>228</v>
      </c>
      <c r="C19" s="6" t="s">
        <v>355</v>
      </c>
      <c r="D19" s="186" t="s">
        <v>573</v>
      </c>
    </row>
    <row r="20" spans="2:4" ht="60" x14ac:dyDescent="0.25">
      <c r="B20" s="6" t="s">
        <v>356</v>
      </c>
      <c r="C20" s="6" t="s">
        <v>357</v>
      </c>
      <c r="D20" s="186" t="s">
        <v>574</v>
      </c>
    </row>
    <row r="21" spans="2:4" ht="45" x14ac:dyDescent="0.25">
      <c r="B21" s="6" t="s">
        <v>358</v>
      </c>
      <c r="C21" s="6" t="s">
        <v>359</v>
      </c>
      <c r="D21" s="186" t="s">
        <v>575</v>
      </c>
    </row>
    <row r="22" spans="2:4" ht="60" x14ac:dyDescent="0.25">
      <c r="B22" s="6" t="s">
        <v>360</v>
      </c>
      <c r="C22" s="6" t="s">
        <v>361</v>
      </c>
      <c r="D22" s="186" t="s">
        <v>576</v>
      </c>
    </row>
    <row r="23" spans="2:4" ht="30" x14ac:dyDescent="0.25">
      <c r="B23" s="6" t="s">
        <v>362</v>
      </c>
      <c r="C23" s="6" t="s">
        <v>577</v>
      </c>
      <c r="D23" s="6" t="s">
        <v>578</v>
      </c>
    </row>
    <row r="24" spans="2:4" ht="30" x14ac:dyDescent="0.25">
      <c r="B24" s="6" t="s">
        <v>363</v>
      </c>
      <c r="C24" s="6" t="s">
        <v>364</v>
      </c>
      <c r="D24" s="6" t="s">
        <v>579</v>
      </c>
    </row>
    <row r="25" spans="2:4" ht="30" x14ac:dyDescent="0.25">
      <c r="B25" s="6" t="s">
        <v>365</v>
      </c>
      <c r="C25" s="6" t="s">
        <v>366</v>
      </c>
      <c r="D25" s="6" t="s">
        <v>580</v>
      </c>
    </row>
    <row r="26" spans="2:4" ht="45" x14ac:dyDescent="0.25">
      <c r="B26" s="6" t="s">
        <v>367</v>
      </c>
      <c r="C26" s="6" t="s">
        <v>581</v>
      </c>
      <c r="D26" s="6" t="s">
        <v>582</v>
      </c>
    </row>
    <row r="27" spans="2:4" ht="60" x14ac:dyDescent="0.25">
      <c r="B27" s="6" t="s">
        <v>368</v>
      </c>
      <c r="C27" s="6" t="s">
        <v>369</v>
      </c>
    </row>
    <row r="28" spans="2:4" ht="30" x14ac:dyDescent="0.25">
      <c r="B28" s="6" t="s">
        <v>370</v>
      </c>
      <c r="C28" s="6" t="s">
        <v>371</v>
      </c>
    </row>
    <row r="29" spans="2:4" ht="30" x14ac:dyDescent="0.25">
      <c r="B29" s="6" t="s">
        <v>372</v>
      </c>
      <c r="C29" s="6" t="s">
        <v>373</v>
      </c>
      <c r="D29" s="6" t="s">
        <v>583</v>
      </c>
    </row>
    <row r="30" spans="2:4" ht="45" x14ac:dyDescent="0.25">
      <c r="B30" s="6" t="s">
        <v>205</v>
      </c>
      <c r="C30" s="6" t="s">
        <v>374</v>
      </c>
    </row>
    <row r="31" spans="2:4" ht="60" x14ac:dyDescent="0.25">
      <c r="B31" s="6" t="s">
        <v>375</v>
      </c>
      <c r="C31" s="6" t="s">
        <v>376</v>
      </c>
      <c r="D31" s="6" t="s">
        <v>584</v>
      </c>
    </row>
    <row r="32" spans="2:4" ht="60" x14ac:dyDescent="0.25">
      <c r="B32" s="6" t="s">
        <v>377</v>
      </c>
      <c r="C32" s="6" t="s">
        <v>378</v>
      </c>
      <c r="D32" s="6" t="s">
        <v>584</v>
      </c>
    </row>
    <row r="33" spans="1:4" ht="30" x14ac:dyDescent="0.25">
      <c r="B33" s="6" t="s">
        <v>379</v>
      </c>
      <c r="C33" s="6" t="s">
        <v>380</v>
      </c>
      <c r="D33" s="6" t="s">
        <v>585</v>
      </c>
    </row>
    <row r="34" spans="1:4" ht="30" x14ac:dyDescent="0.25">
      <c r="A34" s="163"/>
      <c r="B34" s="156" t="s">
        <v>424</v>
      </c>
      <c r="C34" s="156" t="s">
        <v>425</v>
      </c>
    </row>
    <row r="35" spans="1:4" ht="45" x14ac:dyDescent="0.25">
      <c r="B35" s="6" t="s">
        <v>381</v>
      </c>
      <c r="C35" s="6" t="s">
        <v>382</v>
      </c>
      <c r="D35" s="6" t="s">
        <v>586</v>
      </c>
    </row>
    <row r="36" spans="1:4" ht="30" x14ac:dyDescent="0.25">
      <c r="B36" s="6" t="s">
        <v>383</v>
      </c>
      <c r="C36" s="6" t="s">
        <v>384</v>
      </c>
      <c r="D36" s="186" t="s">
        <v>587</v>
      </c>
    </row>
    <row r="37" spans="1:4" ht="45" x14ac:dyDescent="0.25">
      <c r="B37" s="6" t="s">
        <v>271</v>
      </c>
      <c r="C37" s="6" t="s">
        <v>385</v>
      </c>
      <c r="D37" s="6" t="s">
        <v>588</v>
      </c>
    </row>
    <row r="42" spans="1:4" x14ac:dyDescent="0.25">
      <c r="C42" s="185" t="s">
        <v>558</v>
      </c>
    </row>
    <row r="43" spans="1:4" x14ac:dyDescent="0.25">
      <c r="C43" s="185" t="s">
        <v>559</v>
      </c>
    </row>
  </sheetData>
  <sortState xmlns:xlrd2="http://schemas.microsoft.com/office/spreadsheetml/2017/richdata2" ref="B3:C37">
    <sortCondition ref="B3:B37"/>
  </sortState>
  <hyperlinks>
    <hyperlink ref="C42" r:id="rId1" display="https://americas.uli.org/wp-content/uploads/sites/2/ULI-Documents/ULI-Parking-Policy-Research-Potential-Benefits-of-Reforms.pdf" xr:uid="{5317A985-936B-43FE-97D9-43AB1BCADE02}"/>
    <hyperlink ref="C43" r:id="rId2" display="http://www.sjsu.edu/urbanplanning/docs/VTA-TODParkingSurveyReport-VolI.pdf" xr:uid="{3EC456EE-152B-41E2-95B3-78C4F820AD66}"/>
    <hyperlink ref="D4" r:id="rId3" xr:uid="{0E0A2ACD-5E29-40AB-9530-84B20CEB4D38}"/>
    <hyperlink ref="D5" r:id="rId4" xr:uid="{A30AC343-C2B2-42DC-B30F-335A1F43B97E}"/>
    <hyperlink ref="D8" r:id="rId5" xr:uid="{65A10996-1BF3-4742-9EC0-284416918C26}"/>
    <hyperlink ref="D9" r:id="rId6" xr:uid="{E5B4C76A-F912-40C2-90A2-44A4E043C086}"/>
    <hyperlink ref="D10" r:id="rId7" xr:uid="{F4096227-A857-468B-AA82-3BA39042923B}"/>
    <hyperlink ref="D14" r:id="rId8" xr:uid="{BCE9F7FE-6E1B-4E03-A8CA-EB955DF596B8}"/>
    <hyperlink ref="D15" r:id="rId9" xr:uid="{F2ADC04B-E135-4072-9E75-5635C0F42054}"/>
    <hyperlink ref="D17" r:id="rId10" xr:uid="{10C4FDAD-1B06-4E0D-A864-CAEBCF969A75}"/>
    <hyperlink ref="D18" r:id="rId11" xr:uid="{C8622517-E6A9-49A9-BBC7-5CB0A0439FD9}"/>
    <hyperlink ref="D19" r:id="rId12" xr:uid="{B7E06595-57E9-431D-8FF4-42184D93FBB2}"/>
    <hyperlink ref="D20" r:id="rId13" xr:uid="{9D97F093-90FC-4C49-AF48-7DD4A7A6E658}"/>
    <hyperlink ref="D21" r:id="rId14" xr:uid="{A9CC3D07-1B5F-4A53-B2A4-3CF7029DBA5E}"/>
    <hyperlink ref="D22" r:id="rId15" xr:uid="{0624AC4B-83E4-44E6-81AC-67D08DB38617}"/>
    <hyperlink ref="D36" r:id="rId16" xr:uid="{7A1EED13-D8CC-47A1-876A-A55E80432EC3}"/>
    <hyperlink ref="D7" r:id="rId17" xr:uid="{5A33AE3F-E15E-4BBB-84BB-654AD495E1E8}"/>
    <hyperlink ref="D11" r:id="rId18" xr:uid="{267BF578-D45C-4143-89FA-EB6A239D38D9}"/>
    <hyperlink ref="D12" r:id="rId19" xr:uid="{44D98740-DF94-41F1-AAE1-88653E440817}"/>
  </hyperlinks>
  <pageMargins left="0.7" right="0.7" top="0.75" bottom="0.75" header="0.3" footer="0.3"/>
  <pageSetup orientation="portrait" r:id="rId20"/>
  <legacyDrawing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20f14b0a-fce4-45ad-b5ab-82d949782be2">
      <Terms xmlns="http://schemas.microsoft.com/office/infopath/2007/PartnerControls"/>
    </lcf76f155ced4ddcb4097134ff3c332f>
    <TaxCatchAll xmlns="b26c6001-0591-40c4-8312-bdce9c924f2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3889368C9034468E3BEFD07FCF2E09" ma:contentTypeVersion="14" ma:contentTypeDescription="Create a new document." ma:contentTypeScope="" ma:versionID="293a254ab672bde70d7bccf4b7ac4ee1">
  <xsd:schema xmlns:xsd="http://www.w3.org/2001/XMLSchema" xmlns:xs="http://www.w3.org/2001/XMLSchema" xmlns:p="http://schemas.microsoft.com/office/2006/metadata/properties" xmlns:ns2="20f14b0a-fce4-45ad-b5ab-82d949782be2" xmlns:ns3="b26c6001-0591-40c4-8312-bdce9c924f21" targetNamespace="http://schemas.microsoft.com/office/2006/metadata/properties" ma:root="true" ma:fieldsID="5d0a96a0574a9805ce02e0415ea87be7" ns2:_="" ns3:_="">
    <xsd:import namespace="20f14b0a-fce4-45ad-b5ab-82d949782be2"/>
    <xsd:import namespace="b26c6001-0591-40c4-8312-bdce9c924f2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f14b0a-fce4-45ad-b5ab-82d949782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5869760-63e5-4ad7-8e1d-ce12b2e8d0a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6c6001-0591-40c4-8312-bdce9c924f2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e63265d-dd7d-44f6-81b6-f1151c6b08bd}" ma:internalName="TaxCatchAll" ma:showField="CatchAllData" ma:web="b26c6001-0591-40c4-8312-bdce9c924f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91B362-6937-4032-8241-8CFF1C551048}">
  <ds:schemaRefs>
    <ds:schemaRef ds:uri="http://schemas.microsoft.com/office/2006/metadata/properties"/>
    <ds:schemaRef ds:uri="http://schemas.microsoft.com/office/infopath/2007/PartnerControls"/>
    <ds:schemaRef ds:uri="20f14b0a-fce4-45ad-b5ab-82d949782be2"/>
    <ds:schemaRef ds:uri="b26c6001-0591-40c4-8312-bdce9c924f21"/>
  </ds:schemaRefs>
</ds:datastoreItem>
</file>

<file path=customXml/itemProps2.xml><?xml version="1.0" encoding="utf-8"?>
<ds:datastoreItem xmlns:ds="http://schemas.openxmlformats.org/officeDocument/2006/customXml" ds:itemID="{3D3044C2-F3AB-4308-A688-5775833BE6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f14b0a-fce4-45ad-b5ab-82d949782be2"/>
    <ds:schemaRef ds:uri="b26c6001-0591-40c4-8312-bdce9c924f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ABDC98-3456-4ED4-A350-7BA01FC371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Bike-Ped</vt:lpstr>
      <vt:lpstr>Transit</vt:lpstr>
      <vt:lpstr>Electrification</vt:lpstr>
      <vt:lpstr>Parking</vt:lpstr>
      <vt:lpstr>Land Use</vt:lpstr>
      <vt:lpstr>TDM</vt:lpstr>
      <vt:lpstr>Operations</vt:lpstr>
      <vt:lpstr>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Porter</dc:creator>
  <cp:keywords/>
  <dc:description/>
  <cp:lastModifiedBy>CDOT </cp:lastModifiedBy>
  <cp:revision/>
  <dcterms:created xsi:type="dcterms:W3CDTF">2022-03-18T16:54:54Z</dcterms:created>
  <dcterms:modified xsi:type="dcterms:W3CDTF">2022-05-19T22:11:41Z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0x010100723889368C9034468E3BEFD07FCF2E09</vt:lpwstr>
  </property>
  <property fmtid="{D5CDD505-2E9C-101B-9397-08002B2CF9AE}" pid="3" name="MediaServiceImageTags">
    <vt:lpwstr/>
  </property>
  <property fmtid="{D5CDD505-2E9C-101B-9397-08002B2CF9AE}" pid="4" name="WorkbookGuid">
    <vt:lpwstr>a5797e91-36c9-4f9d-af4c-e29edbfd8ece</vt:lpwstr>
  </property>
</Properties>
</file>